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285" windowWidth="21840" windowHeight="9780" tabRatio="789" activeTab="9"/>
  </bookViews>
  <sheets>
    <sheet name="Приложение 1" sheetId="13" r:id="rId1"/>
    <sheet name="Приложение 2" sheetId="14" r:id="rId2"/>
    <sheet name="Приложение 3" sheetId="15" state="hidden" r:id="rId3"/>
    <sheet name="Приложение 4" sheetId="16" state="hidden" r:id="rId4"/>
    <sheet name="Приложение 5" sheetId="17" r:id="rId5"/>
    <sheet name="Приложение 6" sheetId="18" r:id="rId6"/>
    <sheet name="Приложение 7" sheetId="19" r:id="rId7"/>
    <sheet name="Приложение 10" sheetId="20" r:id="rId8"/>
    <sheet name="Приложение 11 " sheetId="22" r:id="rId9"/>
    <sheet name="Приложение13" sheetId="23" r:id="rId10"/>
  </sheets>
  <definedNames>
    <definedName name="_xlnm._FilterDatabase" localSheetId="1" hidden="1">'Приложение 2'!$A$17:$K$61</definedName>
    <definedName name="_xlnm._FilterDatabase" localSheetId="6" hidden="1">'Приложение 7'!$A$14:$P$556</definedName>
    <definedName name="Z_D9BF5C1F_7FE7_4D42_A137_695BB65589D4_.wvu.Cols" localSheetId="0" hidden="1">'Приложение 1'!$G:$H</definedName>
    <definedName name="Z_D9BF5C1F_7FE7_4D42_A137_695BB65589D4_.wvu.Cols" localSheetId="1" hidden="1">'Приложение 2'!$J:$J</definedName>
    <definedName name="Z_D9BF5C1F_7FE7_4D42_A137_695BB65589D4_.wvu.Cols" localSheetId="2" hidden="1">'Приложение 3'!$F:$F</definedName>
    <definedName name="Z_D9BF5C1F_7FE7_4D42_A137_695BB65589D4_.wvu.Cols" localSheetId="3" hidden="1">'Приложение 4'!$H:$I,'Приложение 4'!$S:$T</definedName>
    <definedName name="Z_D9BF5C1F_7FE7_4D42_A137_695BB65589D4_.wvu.FilterData" localSheetId="1" hidden="1">'Приложение 2'!$A$17:$K$61</definedName>
    <definedName name="Z_D9BF5C1F_7FE7_4D42_A137_695BB65589D4_.wvu.FilterData" localSheetId="6" hidden="1">'Приложение 7'!$A$14:$P$554</definedName>
    <definedName name="Z_D9BF5C1F_7FE7_4D42_A137_695BB65589D4_.wvu.PrintArea" localSheetId="0" hidden="1">'Приложение 1'!$A$6:$R$107</definedName>
    <definedName name="Z_D9BF5C1F_7FE7_4D42_A137_695BB65589D4_.wvu.PrintArea" localSheetId="7" hidden="1">'Приложение 10'!$A$6:$D$32</definedName>
    <definedName name="Z_D9BF5C1F_7FE7_4D42_A137_695BB65589D4_.wvu.PrintArea" localSheetId="1" hidden="1">'Приложение 2'!$A$7:$I$129</definedName>
    <definedName name="Z_D9BF5C1F_7FE7_4D42_A137_695BB65589D4_.wvu.PrintArea" localSheetId="2" hidden="1">'Приложение 3'!$A$7:$P$24</definedName>
    <definedName name="Z_D9BF5C1F_7FE7_4D42_A137_695BB65589D4_.wvu.PrintArea" localSheetId="3" hidden="1">'Приложение 4'!$A$6:$AC$23</definedName>
    <definedName name="Z_D9BF5C1F_7FE7_4D42_A137_695BB65589D4_.wvu.PrintArea" localSheetId="4" hidden="1">'Приложение 5'!$A$6:$T$55</definedName>
    <definedName name="Z_D9BF5C1F_7FE7_4D42_A137_695BB65589D4_.wvu.PrintArea" localSheetId="5" hidden="1">'Приложение 6'!$A$6:$M$56</definedName>
    <definedName name="Z_D9BF5C1F_7FE7_4D42_A137_695BB65589D4_.wvu.PrintArea" localSheetId="6" hidden="1">'Приложение 7'!$A$6:$P$556</definedName>
    <definedName name="Z_D9BF5C1F_7FE7_4D42_A137_695BB65589D4_.wvu.PrintTitles" localSheetId="0" hidden="1">'Приложение 1'!$18:$20</definedName>
    <definedName name="Z_D9BF5C1F_7FE7_4D42_A137_695BB65589D4_.wvu.PrintTitles" localSheetId="1" hidden="1">'Приложение 2'!$17:$18</definedName>
    <definedName name="Z_D9BF5C1F_7FE7_4D42_A137_695BB65589D4_.wvu.PrintTitles" localSheetId="2" hidden="1">'Приложение 3'!$19:$21</definedName>
    <definedName name="Z_D9BF5C1F_7FE7_4D42_A137_695BB65589D4_.wvu.PrintTitles" localSheetId="3" hidden="1">'Приложение 4'!$19:$20</definedName>
    <definedName name="Z_D9BF5C1F_7FE7_4D42_A137_695BB65589D4_.wvu.PrintTitles" localSheetId="5" hidden="1">'Приложение 6'!$17:$18</definedName>
    <definedName name="Z_D9BF5C1F_7FE7_4D42_A137_695BB65589D4_.wvu.PrintTitles" localSheetId="6" hidden="1">'Приложение 7'!$13:$14</definedName>
    <definedName name="Z_D9BF5C1F_7FE7_4D42_A137_695BB65589D4_.wvu.Rows" localSheetId="3" hidden="1">'Приложение 4'!$10:$10</definedName>
    <definedName name="_xlnm.Print_Titles" localSheetId="0">'Приложение 1'!$18:$20</definedName>
    <definedName name="_xlnm.Print_Titles" localSheetId="8">'Приложение 11 '!$19:$20</definedName>
    <definedName name="_xlnm.Print_Titles" localSheetId="1">'Приложение 2'!$17:$18</definedName>
    <definedName name="_xlnm.Print_Titles" localSheetId="2">'Приложение 3'!$19:$21</definedName>
    <definedName name="_xlnm.Print_Titles" localSheetId="3">'Приложение 4'!$19:$20</definedName>
    <definedName name="_xlnm.Print_Titles" localSheetId="5">'Приложение 6'!$17:$18</definedName>
    <definedName name="_xlnm.Print_Titles" localSheetId="6">'Приложение 7'!$13:$14</definedName>
    <definedName name="_xlnm.Print_Area" localSheetId="0">'Приложение 1'!$A$1:$R$99</definedName>
    <definedName name="_xlnm.Print_Area" localSheetId="7">'Приложение 10'!$A$1:$G$34</definedName>
    <definedName name="_xlnm.Print_Area" localSheetId="8">'Приложение 11 '!$A$1:$J$70</definedName>
    <definedName name="_xlnm.Print_Area" localSheetId="1">'Приложение 2'!$A$1:$I$131</definedName>
    <definedName name="_xlnm.Print_Area" localSheetId="2">'Приложение 3'!$A$1:$P$24</definedName>
    <definedName name="_xlnm.Print_Area" localSheetId="3">'Приложение 4'!$A$1:$AC$23</definedName>
    <definedName name="_xlnm.Print_Area" localSheetId="4">'Приложение 5'!$A$1:$T$55</definedName>
    <definedName name="_xlnm.Print_Area" localSheetId="5">'Приложение 6'!$A$1:$M$56</definedName>
    <definedName name="_xlnm.Print_Area" localSheetId="6">'Приложение 7'!$A$1:$P$556</definedName>
  </definedNames>
  <calcPr calcId="125725"/>
  <customWorkbookViews>
    <customWorkbookView name="1" guid="{D9BF5C1F-7FE7-4D42-A137-695BB65589D4}" maximized="1" windowWidth="1596" windowHeight="675" tabRatio="789" activeSheetId="12"/>
  </customWorkbookViews>
</workbook>
</file>

<file path=xl/calcChain.xml><?xml version="1.0" encoding="utf-8"?>
<calcChain xmlns="http://schemas.openxmlformats.org/spreadsheetml/2006/main">
  <c r="Q16" i="19"/>
  <c r="Q15"/>
  <c r="K19" i="18"/>
  <c r="N19" i="19"/>
  <c r="K20" i="18"/>
  <c r="N20" i="19"/>
  <c r="H22" i="20"/>
  <c r="Q348" i="19"/>
  <c r="Q340"/>
  <c r="C57" i="22" l="1"/>
  <c r="Q332" i="19"/>
  <c r="M350" l="1"/>
  <c r="M357"/>
  <c r="M358"/>
  <c r="M363" s="1"/>
  <c r="D40" i="22"/>
  <c r="C40"/>
  <c r="C49" s="1"/>
  <c r="E41"/>
  <c r="H41" s="1"/>
  <c r="H42"/>
  <c r="E42"/>
  <c r="E59"/>
  <c r="H59" s="1"/>
  <c r="E58"/>
  <c r="H58" s="1"/>
  <c r="D57"/>
  <c r="D66" s="1"/>
  <c r="D23"/>
  <c r="C23"/>
  <c r="G66"/>
  <c r="C66"/>
  <c r="E64"/>
  <c r="H64" s="1"/>
  <c r="E63"/>
  <c r="E62"/>
  <c r="E61"/>
  <c r="E60"/>
  <c r="E56"/>
  <c r="G49"/>
  <c r="D49"/>
  <c r="E47"/>
  <c r="H47" s="1"/>
  <c r="E46"/>
  <c r="H46" s="1"/>
  <c r="E45"/>
  <c r="E44"/>
  <c r="H44" s="1"/>
  <c r="E43"/>
  <c r="H43" s="1"/>
  <c r="E39"/>
  <c r="E57" l="1"/>
  <c r="H57" s="1"/>
  <c r="L58" s="1"/>
  <c r="M356" i="19"/>
  <c r="E40" i="22"/>
  <c r="H40" s="1"/>
  <c r="H56"/>
  <c r="H60"/>
  <c r="H61"/>
  <c r="H62"/>
  <c r="H39"/>
  <c r="H45"/>
  <c r="E66" l="1"/>
  <c r="E49"/>
  <c r="F59"/>
  <c r="F57"/>
  <c r="F61"/>
  <c r="H66"/>
  <c r="I61" s="1"/>
  <c r="H49"/>
  <c r="I41" s="1"/>
  <c r="F63" l="1"/>
  <c r="F60"/>
  <c r="F62"/>
  <c r="F58"/>
  <c r="F64"/>
  <c r="F56"/>
  <c r="F66" s="1"/>
  <c r="I39"/>
  <c r="I42"/>
  <c r="I40"/>
  <c r="F40"/>
  <c r="F42"/>
  <c r="F46"/>
  <c r="F43"/>
  <c r="F44"/>
  <c r="F45"/>
  <c r="F39"/>
  <c r="F47"/>
  <c r="I45"/>
  <c r="I58"/>
  <c r="I59"/>
  <c r="I57"/>
  <c r="I62"/>
  <c r="I63"/>
  <c r="I64"/>
  <c r="I56"/>
  <c r="I60"/>
  <c r="I47"/>
  <c r="I46"/>
  <c r="I43"/>
  <c r="I44"/>
  <c r="I66" l="1"/>
  <c r="I49"/>
  <c r="E25" l="1"/>
  <c r="E24"/>
  <c r="H24" s="1"/>
  <c r="B23" i="20"/>
  <c r="B25"/>
  <c r="B26"/>
  <c r="B27"/>
  <c r="B28"/>
  <c r="B29"/>
  <c r="R45" i="17"/>
  <c r="K37" i="18"/>
  <c r="N390" i="19"/>
  <c r="N341"/>
  <c r="M333"/>
  <c r="M331" s="1"/>
  <c r="N333"/>
  <c r="N331" s="1"/>
  <c r="M338"/>
  <c r="L350"/>
  <c r="L20"/>
  <c r="H25" i="22" l="1"/>
  <c r="N338" i="19"/>
  <c r="L357"/>
  <c r="Q357" s="1"/>
  <c r="L391"/>
  <c r="L389" s="1"/>
  <c r="G355"/>
  <c r="L333"/>
  <c r="L331" l="1"/>
  <c r="Q331" s="1"/>
  <c r="Q333"/>
  <c r="G67"/>
  <c r="G69"/>
  <c r="K70" l="1"/>
  <c r="N68"/>
  <c r="N66" s="1"/>
  <c r="O68"/>
  <c r="O66" s="1"/>
  <c r="P68"/>
  <c r="P66" s="1"/>
  <c r="M68"/>
  <c r="M66" s="1"/>
  <c r="F37" i="18" l="1"/>
  <c r="I143" i="19"/>
  <c r="I71"/>
  <c r="F28" i="18" l="1"/>
  <c r="J521" i="19" l="1"/>
  <c r="H21" i="18"/>
  <c r="J66" i="19" l="1"/>
  <c r="J183"/>
  <c r="G37" i="18" l="1"/>
  <c r="N21" i="17"/>
  <c r="E37" i="18" l="1"/>
  <c r="G20"/>
  <c r="K173" i="19"/>
  <c r="H28" i="18"/>
  <c r="G28"/>
  <c r="K341" i="19" l="1"/>
  <c r="O40" i="17" l="1"/>
  <c r="T40"/>
  <c r="I19" i="18"/>
  <c r="H19"/>
  <c r="G19"/>
  <c r="L170" i="19" l="1"/>
  <c r="M170"/>
  <c r="N170"/>
  <c r="O170"/>
  <c r="P170"/>
  <c r="I172"/>
  <c r="J172"/>
  <c r="K172"/>
  <c r="L172"/>
  <c r="M172"/>
  <c r="N172"/>
  <c r="O172"/>
  <c r="P172"/>
  <c r="H172"/>
  <c r="K170"/>
  <c r="J170"/>
  <c r="I170"/>
  <c r="H170"/>
  <c r="G172" l="1"/>
  <c r="E22" i="22"/>
  <c r="H22" s="1"/>
  <c r="E23"/>
  <c r="E26"/>
  <c r="H26" s="1"/>
  <c r="E27"/>
  <c r="H27" s="1"/>
  <c r="E28"/>
  <c r="H28" s="1"/>
  <c r="E29"/>
  <c r="E30"/>
  <c r="H30" s="1"/>
  <c r="C32"/>
  <c r="D32"/>
  <c r="G32"/>
  <c r="E32" l="1"/>
  <c r="F25" s="1"/>
  <c r="H23"/>
  <c r="H32" s="1"/>
  <c r="F23"/>
  <c r="F29" l="1"/>
  <c r="I24"/>
  <c r="I25"/>
  <c r="F22"/>
  <c r="F24"/>
  <c r="F28"/>
  <c r="F27"/>
  <c r="F26"/>
  <c r="F30"/>
  <c r="I22"/>
  <c r="I30"/>
  <c r="I26"/>
  <c r="I28"/>
  <c r="I27"/>
  <c r="I29"/>
  <c r="I23"/>
  <c r="I32" l="1"/>
  <c r="F46" i="18"/>
  <c r="M31" i="17" l="1"/>
  <c r="I184" i="19" l="1"/>
  <c r="I132"/>
  <c r="T49" i="17"/>
  <c r="S49"/>
  <c r="R49"/>
  <c r="Q49"/>
  <c r="P49"/>
  <c r="O49"/>
  <c r="N49"/>
  <c r="M49"/>
  <c r="K464" i="19"/>
  <c r="J464"/>
  <c r="M34" i="17"/>
  <c r="M26" s="1"/>
  <c r="N34"/>
  <c r="O34"/>
  <c r="P34"/>
  <c r="Q34"/>
  <c r="R34"/>
  <c r="S34"/>
  <c r="T34"/>
  <c r="I34" i="19" l="1"/>
  <c r="J34"/>
  <c r="K34"/>
  <c r="L34"/>
  <c r="M34"/>
  <c r="N34"/>
  <c r="N31" s="1"/>
  <c r="O34"/>
  <c r="O31" s="1"/>
  <c r="P34"/>
  <c r="P31" s="1"/>
  <c r="T50" i="17"/>
  <c r="S50"/>
  <c r="R50"/>
  <c r="Q50"/>
  <c r="P50"/>
  <c r="O50"/>
  <c r="L50"/>
  <c r="I23" i="19"/>
  <c r="H464"/>
  <c r="K509"/>
  <c r="H509"/>
  <c r="M31" l="1"/>
  <c r="Q28" i="17"/>
  <c r="G535" i="19"/>
  <c r="G534"/>
  <c r="G533"/>
  <c r="G532"/>
  <c r="G531"/>
  <c r="G530"/>
  <c r="G529"/>
  <c r="G528"/>
  <c r="G527"/>
  <c r="G526"/>
  <c r="G525"/>
  <c r="G524"/>
  <c r="I521"/>
  <c r="G522"/>
  <c r="J520"/>
  <c r="J509" s="1"/>
  <c r="G508"/>
  <c r="G507"/>
  <c r="G506"/>
  <c r="G505"/>
  <c r="G504"/>
  <c r="G503"/>
  <c r="G502"/>
  <c r="G501"/>
  <c r="G500"/>
  <c r="G517"/>
  <c r="G518"/>
  <c r="G519"/>
  <c r="G436"/>
  <c r="G435"/>
  <c r="G434"/>
  <c r="G433"/>
  <c r="P432"/>
  <c r="P437" s="1"/>
  <c r="O432"/>
  <c r="O437" s="1"/>
  <c r="N432"/>
  <c r="N430" s="1"/>
  <c r="M432"/>
  <c r="M437" s="1"/>
  <c r="L432"/>
  <c r="L437" s="1"/>
  <c r="K432"/>
  <c r="K437" s="1"/>
  <c r="G431"/>
  <c r="J112"/>
  <c r="J109"/>
  <c r="J70"/>
  <c r="J194"/>
  <c r="J131"/>
  <c r="J86"/>
  <c r="O430" l="1"/>
  <c r="G523"/>
  <c r="J23"/>
  <c r="I520"/>
  <c r="I509" s="1"/>
  <c r="I464"/>
  <c r="G520"/>
  <c r="G521"/>
  <c r="K430"/>
  <c r="M430"/>
  <c r="N437"/>
  <c r="L430"/>
  <c r="P430"/>
  <c r="G437"/>
  <c r="G432"/>
  <c r="M47" i="17"/>
  <c r="O33"/>
  <c r="P33"/>
  <c r="Q33"/>
  <c r="R33"/>
  <c r="S33"/>
  <c r="T33"/>
  <c r="G430" i="19" l="1"/>
  <c r="H169"/>
  <c r="H171"/>
  <c r="I171"/>
  <c r="J171"/>
  <c r="G458"/>
  <c r="G459"/>
  <c r="G460"/>
  <c r="G447"/>
  <c r="G449"/>
  <c r="G450"/>
  <c r="G451"/>
  <c r="G452"/>
  <c r="G457"/>
  <c r="G426"/>
  <c r="G427"/>
  <c r="G428"/>
  <c r="G439"/>
  <c r="G441"/>
  <c r="G442"/>
  <c r="G443"/>
  <c r="G444"/>
  <c r="G410"/>
  <c r="G411"/>
  <c r="G412"/>
  <c r="G417"/>
  <c r="G418"/>
  <c r="G419"/>
  <c r="G420"/>
  <c r="G423"/>
  <c r="G425"/>
  <c r="G401"/>
  <c r="G402"/>
  <c r="G403"/>
  <c r="G404"/>
  <c r="G409"/>
  <c r="G391"/>
  <c r="G392"/>
  <c r="G393"/>
  <c r="G394"/>
  <c r="G395"/>
  <c r="G396"/>
  <c r="G375"/>
  <c r="G376"/>
  <c r="G377"/>
  <c r="G378"/>
  <c r="G383"/>
  <c r="G384"/>
  <c r="G385"/>
  <c r="G386"/>
  <c r="G367"/>
  <c r="G368"/>
  <c r="G369"/>
  <c r="G370"/>
  <c r="G352"/>
  <c r="G353"/>
  <c r="G359"/>
  <c r="G360"/>
  <c r="G361"/>
  <c r="G362"/>
  <c r="G342"/>
  <c r="G343"/>
  <c r="G344"/>
  <c r="G345"/>
  <c r="G350"/>
  <c r="G351"/>
  <c r="G327"/>
  <c r="G328"/>
  <c r="G329"/>
  <c r="G334"/>
  <c r="G335"/>
  <c r="G336"/>
  <c r="G337"/>
  <c r="G317"/>
  <c r="G318"/>
  <c r="G319"/>
  <c r="G320"/>
  <c r="G326"/>
  <c r="G304"/>
  <c r="G307"/>
  <c r="G309"/>
  <c r="G310"/>
  <c r="G311"/>
  <c r="G312"/>
  <c r="G294"/>
  <c r="G295"/>
  <c r="G296"/>
  <c r="G299"/>
  <c r="G301"/>
  <c r="G302"/>
  <c r="G303"/>
  <c r="G280"/>
  <c r="G283"/>
  <c r="G285"/>
  <c r="G286"/>
  <c r="G287"/>
  <c r="G288"/>
  <c r="G293"/>
  <c r="G269"/>
  <c r="G270"/>
  <c r="G271"/>
  <c r="G275"/>
  <c r="G277"/>
  <c r="G278"/>
  <c r="G279"/>
  <c r="G255"/>
  <c r="G260"/>
  <c r="G261"/>
  <c r="G262"/>
  <c r="G263"/>
  <c r="G268"/>
  <c r="G242"/>
  <c r="G243"/>
  <c r="G244"/>
  <c r="G245"/>
  <c r="G246"/>
  <c r="G252"/>
  <c r="G253"/>
  <c r="G254"/>
  <c r="G234"/>
  <c r="G235"/>
  <c r="G236"/>
  <c r="G237"/>
  <c r="G240"/>
  <c r="G220"/>
  <c r="G225"/>
  <c r="G226"/>
  <c r="G227"/>
  <c r="G228"/>
  <c r="G229"/>
  <c r="G207"/>
  <c r="G209"/>
  <c r="G210"/>
  <c r="G211"/>
  <c r="G212"/>
  <c r="G217"/>
  <c r="G218"/>
  <c r="G219"/>
  <c r="G199"/>
  <c r="G201"/>
  <c r="G202"/>
  <c r="G203"/>
  <c r="G204"/>
  <c r="J169"/>
  <c r="I27"/>
  <c r="J27"/>
  <c r="K18"/>
  <c r="L18" l="1"/>
  <c r="N18" s="1"/>
  <c r="M18"/>
  <c r="O18"/>
  <c r="P18"/>
  <c r="J18"/>
  <c r="I169"/>
  <c r="J189"/>
  <c r="J188"/>
  <c r="J186"/>
  <c r="J185"/>
  <c r="J193"/>
  <c r="I193"/>
  <c r="H189"/>
  <c r="H182" s="1"/>
  <c r="L41" i="17" s="1"/>
  <c r="I189" i="19"/>
  <c r="K182"/>
  <c r="O41" i="17" s="1"/>
  <c r="L182" i="19"/>
  <c r="P41" i="17" s="1"/>
  <c r="M182" i="19"/>
  <c r="Q41" i="17" s="1"/>
  <c r="N182" i="19"/>
  <c r="R41" i="17" s="1"/>
  <c r="O182" i="19"/>
  <c r="S41" i="17" s="1"/>
  <c r="P182" i="19"/>
  <c r="T41" i="17" s="1"/>
  <c r="G190" i="19"/>
  <c r="G191"/>
  <c r="G192"/>
  <c r="G194"/>
  <c r="G195"/>
  <c r="G196"/>
  <c r="G184"/>
  <c r="G187"/>
  <c r="I188"/>
  <c r="I186"/>
  <c r="I183"/>
  <c r="G178"/>
  <c r="G177"/>
  <c r="G176"/>
  <c r="G175"/>
  <c r="G174"/>
  <c r="O173"/>
  <c r="S40" i="17" s="1"/>
  <c r="N173" i="19"/>
  <c r="R40" i="17" s="1"/>
  <c r="M173" i="19"/>
  <c r="Q40" i="17" s="1"/>
  <c r="L173" i="19"/>
  <c r="P40" i="17" s="1"/>
  <c r="G170" i="19"/>
  <c r="J173"/>
  <c r="I173"/>
  <c r="M40" i="17" s="1"/>
  <c r="K100" i="19"/>
  <c r="L100"/>
  <c r="P32" i="17" s="1"/>
  <c r="M100" i="19"/>
  <c r="Q32" i="17" s="1"/>
  <c r="N100" i="19"/>
  <c r="R32" i="17" s="1"/>
  <c r="O100" i="19"/>
  <c r="S32" i="17" s="1"/>
  <c r="P100" i="19"/>
  <c r="T32" i="17" s="1"/>
  <c r="M32" i="19"/>
  <c r="N32"/>
  <c r="O32"/>
  <c r="P32"/>
  <c r="G185" l="1"/>
  <c r="G193"/>
  <c r="I182"/>
  <c r="G188"/>
  <c r="G183"/>
  <c r="G173"/>
  <c r="J182"/>
  <c r="G186"/>
  <c r="G189"/>
  <c r="G182" l="1"/>
  <c r="C31" i="20" l="1"/>
  <c r="D31"/>
  <c r="C32"/>
  <c r="D32"/>
  <c r="K20" i="19"/>
  <c r="M20"/>
  <c r="O20"/>
  <c r="P20"/>
  <c r="K21"/>
  <c r="L21"/>
  <c r="M21"/>
  <c r="N21"/>
  <c r="O21"/>
  <c r="P21"/>
  <c r="K22"/>
  <c r="L22"/>
  <c r="M22"/>
  <c r="N22"/>
  <c r="O22"/>
  <c r="P22"/>
  <c r="K25"/>
  <c r="L25"/>
  <c r="M25"/>
  <c r="N25"/>
  <c r="O25"/>
  <c r="P25"/>
  <c r="K26"/>
  <c r="L26"/>
  <c r="M26"/>
  <c r="N26"/>
  <c r="O26"/>
  <c r="P26"/>
  <c r="H27"/>
  <c r="K27"/>
  <c r="L27"/>
  <c r="M27"/>
  <c r="N27"/>
  <c r="O27"/>
  <c r="P27"/>
  <c r="H28"/>
  <c r="K28"/>
  <c r="L28"/>
  <c r="M28"/>
  <c r="N28"/>
  <c r="O28"/>
  <c r="P28"/>
  <c r="I30"/>
  <c r="J30"/>
  <c r="K30"/>
  <c r="L30"/>
  <c r="M30"/>
  <c r="N30"/>
  <c r="O30"/>
  <c r="P30"/>
  <c r="K33"/>
  <c r="L33"/>
  <c r="M33"/>
  <c r="N33"/>
  <c r="O33"/>
  <c r="P33"/>
  <c r="H35"/>
  <c r="H34" s="1"/>
  <c r="G36"/>
  <c r="G37"/>
  <c r="G38"/>
  <c r="G39"/>
  <c r="G40"/>
  <c r="G41"/>
  <c r="I42"/>
  <c r="M29" i="17" s="1"/>
  <c r="M25" s="1"/>
  <c r="J42" i="19"/>
  <c r="K42"/>
  <c r="O25" i="17" s="1"/>
  <c r="G43" i="19"/>
  <c r="H44"/>
  <c r="G45"/>
  <c r="G46"/>
  <c r="G49"/>
  <c r="H50"/>
  <c r="H53" s="1"/>
  <c r="H20" s="1"/>
  <c r="I50"/>
  <c r="J50"/>
  <c r="G51"/>
  <c r="G52"/>
  <c r="G55"/>
  <c r="H56"/>
  <c r="I56"/>
  <c r="I54" s="1"/>
  <c r="J56"/>
  <c r="G57"/>
  <c r="G58"/>
  <c r="G61"/>
  <c r="H62"/>
  <c r="H65" s="1"/>
  <c r="I62"/>
  <c r="I65" s="1"/>
  <c r="J62"/>
  <c r="G63"/>
  <c r="G64"/>
  <c r="I68"/>
  <c r="I66" s="1"/>
  <c r="K68"/>
  <c r="L68"/>
  <c r="L66" s="1"/>
  <c r="L32" s="1"/>
  <c r="H70"/>
  <c r="G73"/>
  <c r="I74"/>
  <c r="I72" s="1"/>
  <c r="J74"/>
  <c r="J72" s="1"/>
  <c r="G75"/>
  <c r="H76"/>
  <c r="I77"/>
  <c r="J77"/>
  <c r="G80"/>
  <c r="H81"/>
  <c r="H84" s="1"/>
  <c r="H26" s="1"/>
  <c r="I81"/>
  <c r="I84" s="1"/>
  <c r="I26" s="1"/>
  <c r="J81"/>
  <c r="G82"/>
  <c r="G83"/>
  <c r="H85"/>
  <c r="I85"/>
  <c r="J85"/>
  <c r="K85"/>
  <c r="L85"/>
  <c r="M85"/>
  <c r="N85"/>
  <c r="O85"/>
  <c r="P85"/>
  <c r="G86"/>
  <c r="G87"/>
  <c r="G102"/>
  <c r="H103"/>
  <c r="H106" s="1"/>
  <c r="I103"/>
  <c r="J103"/>
  <c r="G104"/>
  <c r="G105"/>
  <c r="J107"/>
  <c r="G108"/>
  <c r="H109"/>
  <c r="H110"/>
  <c r="I94"/>
  <c r="J94"/>
  <c r="K94"/>
  <c r="O26" i="17" s="1"/>
  <c r="G95" i="19"/>
  <c r="G96"/>
  <c r="G97"/>
  <c r="G98"/>
  <c r="G99"/>
  <c r="I111"/>
  <c r="J111"/>
  <c r="K111"/>
  <c r="L111"/>
  <c r="M111"/>
  <c r="N111"/>
  <c r="O111"/>
  <c r="P111"/>
  <c r="H112"/>
  <c r="H111" s="1"/>
  <c r="G113"/>
  <c r="I114"/>
  <c r="J114"/>
  <c r="K114"/>
  <c r="L114"/>
  <c r="M114"/>
  <c r="N114"/>
  <c r="O114"/>
  <c r="P114"/>
  <c r="G115"/>
  <c r="G116"/>
  <c r="J117"/>
  <c r="K117"/>
  <c r="L117"/>
  <c r="M117"/>
  <c r="N117"/>
  <c r="O117"/>
  <c r="P117"/>
  <c r="G118"/>
  <c r="G119"/>
  <c r="G121"/>
  <c r="H122"/>
  <c r="I122"/>
  <c r="J122"/>
  <c r="G123"/>
  <c r="G124"/>
  <c r="H128"/>
  <c r="J129"/>
  <c r="J127" s="1"/>
  <c r="H130"/>
  <c r="G130" s="1"/>
  <c r="K133"/>
  <c r="L133"/>
  <c r="M133"/>
  <c r="N133"/>
  <c r="O133"/>
  <c r="P133"/>
  <c r="H134"/>
  <c r="I134"/>
  <c r="J134"/>
  <c r="J133" s="1"/>
  <c r="H135"/>
  <c r="G135" s="1"/>
  <c r="H136"/>
  <c r="I136"/>
  <c r="J136"/>
  <c r="K136"/>
  <c r="L136"/>
  <c r="M136"/>
  <c r="N136"/>
  <c r="O136"/>
  <c r="P136"/>
  <c r="G137"/>
  <c r="G138"/>
  <c r="H140"/>
  <c r="G140" s="1"/>
  <c r="J141"/>
  <c r="J144" s="1"/>
  <c r="H142"/>
  <c r="H141" s="1"/>
  <c r="I142"/>
  <c r="I18" s="1"/>
  <c r="G143"/>
  <c r="G145"/>
  <c r="H147"/>
  <c r="H146" s="1"/>
  <c r="L35" i="17" s="1"/>
  <c r="I147" i="19"/>
  <c r="J147"/>
  <c r="K147"/>
  <c r="L147"/>
  <c r="M147"/>
  <c r="N147"/>
  <c r="O147"/>
  <c r="P147"/>
  <c r="G148"/>
  <c r="G149"/>
  <c r="G150"/>
  <c r="G152"/>
  <c r="H153"/>
  <c r="H156" s="1"/>
  <c r="J153"/>
  <c r="J151" s="1"/>
  <c r="G154"/>
  <c r="I155"/>
  <c r="G155" s="1"/>
  <c r="J156"/>
  <c r="G89"/>
  <c r="H90"/>
  <c r="J90"/>
  <c r="G91"/>
  <c r="I92"/>
  <c r="H158"/>
  <c r="G158" s="1"/>
  <c r="I159"/>
  <c r="I157" s="1"/>
  <c r="J159"/>
  <c r="J157" s="1"/>
  <c r="G161"/>
  <c r="G162"/>
  <c r="G163"/>
  <c r="H164"/>
  <c r="H160" s="1"/>
  <c r="G165"/>
  <c r="G166"/>
  <c r="G167"/>
  <c r="K200"/>
  <c r="L200"/>
  <c r="M200"/>
  <c r="N200"/>
  <c r="O200"/>
  <c r="O205" s="1"/>
  <c r="P200"/>
  <c r="K208"/>
  <c r="L208"/>
  <c r="L206" s="1"/>
  <c r="M208"/>
  <c r="M213" s="1"/>
  <c r="N208"/>
  <c r="N206" s="1"/>
  <c r="O208"/>
  <c r="O213" s="1"/>
  <c r="P208"/>
  <c r="P206" s="1"/>
  <c r="I16"/>
  <c r="K215"/>
  <c r="M42" i="17"/>
  <c r="K216" i="19"/>
  <c r="K221" s="1"/>
  <c r="L216"/>
  <c r="M216"/>
  <c r="M214" s="1"/>
  <c r="N216"/>
  <c r="O216"/>
  <c r="O214" s="1"/>
  <c r="P216"/>
  <c r="P214" s="1"/>
  <c r="K223"/>
  <c r="G223" s="1"/>
  <c r="K224"/>
  <c r="L224"/>
  <c r="L222" s="1"/>
  <c r="M224"/>
  <c r="M222" s="1"/>
  <c r="N224"/>
  <c r="N222" s="1"/>
  <c r="O224"/>
  <c r="O230" s="1"/>
  <c r="P224"/>
  <c r="P222" s="1"/>
  <c r="K232"/>
  <c r="G232" s="1"/>
  <c r="K233"/>
  <c r="L233"/>
  <c r="M233"/>
  <c r="M231" s="1"/>
  <c r="N233"/>
  <c r="O233"/>
  <c r="O231" s="1"/>
  <c r="P233"/>
  <c r="P231" s="1"/>
  <c r="K241"/>
  <c r="L241"/>
  <c r="L239" s="1"/>
  <c r="M241"/>
  <c r="M239" s="1"/>
  <c r="N241"/>
  <c r="N239" s="1"/>
  <c r="O241"/>
  <c r="O239" s="1"/>
  <c r="P241"/>
  <c r="P239" s="1"/>
  <c r="K250"/>
  <c r="G250" s="1"/>
  <c r="K251"/>
  <c r="L251"/>
  <c r="M251"/>
  <c r="M256" s="1"/>
  <c r="M23" s="1"/>
  <c r="N251"/>
  <c r="N249" s="1"/>
  <c r="O251"/>
  <c r="O256" s="1"/>
  <c r="O23" s="1"/>
  <c r="P251"/>
  <c r="K258"/>
  <c r="G258" s="1"/>
  <c r="K259"/>
  <c r="L259"/>
  <c r="L257" s="1"/>
  <c r="M259"/>
  <c r="N259"/>
  <c r="N257" s="1"/>
  <c r="O259"/>
  <c r="O257" s="1"/>
  <c r="P259"/>
  <c r="P257" s="1"/>
  <c r="K266"/>
  <c r="G266" s="1"/>
  <c r="K267"/>
  <c r="L267"/>
  <c r="L265" s="1"/>
  <c r="M267"/>
  <c r="M265" s="1"/>
  <c r="N267"/>
  <c r="N265" s="1"/>
  <c r="O267"/>
  <c r="P267"/>
  <c r="P265" s="1"/>
  <c r="K276"/>
  <c r="K281" s="1"/>
  <c r="L276"/>
  <c r="M276"/>
  <c r="M274" s="1"/>
  <c r="N276"/>
  <c r="N281" s="1"/>
  <c r="O276"/>
  <c r="O274" s="1"/>
  <c r="P276"/>
  <c r="P281" s="1"/>
  <c r="K284"/>
  <c r="L284"/>
  <c r="L289" s="1"/>
  <c r="M284"/>
  <c r="M282" s="1"/>
  <c r="N284"/>
  <c r="N282" s="1"/>
  <c r="O284"/>
  <c r="O282" s="1"/>
  <c r="P284"/>
  <c r="P289" s="1"/>
  <c r="K291"/>
  <c r="G291" s="1"/>
  <c r="K292"/>
  <c r="L292"/>
  <c r="L290" s="1"/>
  <c r="M292"/>
  <c r="M290" s="1"/>
  <c r="N292"/>
  <c r="N290" s="1"/>
  <c r="O292"/>
  <c r="O290" s="1"/>
  <c r="P292"/>
  <c r="P290" s="1"/>
  <c r="K300"/>
  <c r="L300"/>
  <c r="L298" s="1"/>
  <c r="M300"/>
  <c r="M298" s="1"/>
  <c r="N300"/>
  <c r="N298" s="1"/>
  <c r="O300"/>
  <c r="O298" s="1"/>
  <c r="P300"/>
  <c r="P298" s="1"/>
  <c r="K308"/>
  <c r="L308"/>
  <c r="M308"/>
  <c r="N308"/>
  <c r="N306" s="1"/>
  <c r="O308"/>
  <c r="P308"/>
  <c r="P306" s="1"/>
  <c r="K315"/>
  <c r="G315" s="1"/>
  <c r="K316"/>
  <c r="L316"/>
  <c r="M316"/>
  <c r="M314" s="1"/>
  <c r="N316"/>
  <c r="N321" s="1"/>
  <c r="O316"/>
  <c r="O314" s="1"/>
  <c r="P316"/>
  <c r="K324"/>
  <c r="G324" s="1"/>
  <c r="K325"/>
  <c r="M325"/>
  <c r="N325"/>
  <c r="N323" s="1"/>
  <c r="O325"/>
  <c r="O330" s="1"/>
  <c r="P325"/>
  <c r="P330" s="1"/>
  <c r="K332"/>
  <c r="G332" s="1"/>
  <c r="K333"/>
  <c r="O333"/>
  <c r="O331" s="1"/>
  <c r="P333"/>
  <c r="P331" s="1"/>
  <c r="M340"/>
  <c r="O340"/>
  <c r="P340"/>
  <c r="L341"/>
  <c r="M341"/>
  <c r="M346" s="1"/>
  <c r="N346"/>
  <c r="O341"/>
  <c r="O346" s="1"/>
  <c r="P341"/>
  <c r="P346" s="1"/>
  <c r="K348"/>
  <c r="O348"/>
  <c r="P348"/>
  <c r="K349"/>
  <c r="K354" s="1"/>
  <c r="L349"/>
  <c r="M349"/>
  <c r="M354" s="1"/>
  <c r="N349"/>
  <c r="O349"/>
  <c r="O354" s="1"/>
  <c r="P349"/>
  <c r="P354" s="1"/>
  <c r="K357"/>
  <c r="O357"/>
  <c r="P357"/>
  <c r="K358"/>
  <c r="L358"/>
  <c r="N358"/>
  <c r="N363" s="1"/>
  <c r="O358"/>
  <c r="O363" s="1"/>
  <c r="P358"/>
  <c r="P363" s="1"/>
  <c r="K365"/>
  <c r="G365" s="1"/>
  <c r="K366"/>
  <c r="K371" s="1"/>
  <c r="L366"/>
  <c r="L364" s="1"/>
  <c r="M366"/>
  <c r="M364" s="1"/>
  <c r="N366"/>
  <c r="N364" s="1"/>
  <c r="O366"/>
  <c r="O364" s="1"/>
  <c r="P366"/>
  <c r="P364" s="1"/>
  <c r="K373"/>
  <c r="G373" s="1"/>
  <c r="K374"/>
  <c r="L374"/>
  <c r="L372" s="1"/>
  <c r="M374"/>
  <c r="M372" s="1"/>
  <c r="N374"/>
  <c r="N379" s="1"/>
  <c r="O374"/>
  <c r="O372" s="1"/>
  <c r="P374"/>
  <c r="P372" s="1"/>
  <c r="K381"/>
  <c r="G381" s="1"/>
  <c r="K382"/>
  <c r="K387" s="1"/>
  <c r="L382"/>
  <c r="L380" s="1"/>
  <c r="M382"/>
  <c r="M380" s="1"/>
  <c r="N382"/>
  <c r="N387" s="1"/>
  <c r="O382"/>
  <c r="O387" s="1"/>
  <c r="P382"/>
  <c r="P380" s="1"/>
  <c r="K389"/>
  <c r="M389"/>
  <c r="N389"/>
  <c r="O389"/>
  <c r="P389"/>
  <c r="K390"/>
  <c r="L390"/>
  <c r="Q390" s="1"/>
  <c r="M390"/>
  <c r="M397" s="1"/>
  <c r="G397" s="1"/>
  <c r="N397"/>
  <c r="O390"/>
  <c r="O397" s="1"/>
  <c r="P390"/>
  <c r="K399"/>
  <c r="G399" s="1"/>
  <c r="K400"/>
  <c r="L400"/>
  <c r="L405" s="1"/>
  <c r="M400"/>
  <c r="M398" s="1"/>
  <c r="N400"/>
  <c r="N398" s="1"/>
  <c r="O400"/>
  <c r="O398" s="1"/>
  <c r="P400"/>
  <c r="P405" s="1"/>
  <c r="K407"/>
  <c r="L407"/>
  <c r="M407"/>
  <c r="N407"/>
  <c r="O407"/>
  <c r="P407"/>
  <c r="H168"/>
  <c r="K408"/>
  <c r="L408"/>
  <c r="M408"/>
  <c r="M413" s="1"/>
  <c r="N408"/>
  <c r="N413" s="1"/>
  <c r="O408"/>
  <c r="O413" s="1"/>
  <c r="P408"/>
  <c r="K415"/>
  <c r="G415" s="1"/>
  <c r="K416"/>
  <c r="L416"/>
  <c r="L414" s="1"/>
  <c r="M416"/>
  <c r="M414" s="1"/>
  <c r="N416"/>
  <c r="N414" s="1"/>
  <c r="O416"/>
  <c r="O414" s="1"/>
  <c r="P416"/>
  <c r="P421" s="1"/>
  <c r="K424"/>
  <c r="L424"/>
  <c r="L422" s="1"/>
  <c r="M424"/>
  <c r="N424"/>
  <c r="N422" s="1"/>
  <c r="O424"/>
  <c r="O422" s="1"/>
  <c r="P424"/>
  <c r="P429" s="1"/>
  <c r="K440"/>
  <c r="L440"/>
  <c r="L445" s="1"/>
  <c r="M440"/>
  <c r="M438" s="1"/>
  <c r="N440"/>
  <c r="N438" s="1"/>
  <c r="O440"/>
  <c r="O445" s="1"/>
  <c r="P440"/>
  <c r="K448"/>
  <c r="L448"/>
  <c r="L446" s="1"/>
  <c r="M448"/>
  <c r="M453" s="1"/>
  <c r="N448"/>
  <c r="N446" s="1"/>
  <c r="O448"/>
  <c r="O446" s="1"/>
  <c r="P448"/>
  <c r="P446" s="1"/>
  <c r="K455"/>
  <c r="G455" s="1"/>
  <c r="K456"/>
  <c r="L456"/>
  <c r="M456"/>
  <c r="M454" s="1"/>
  <c r="N456"/>
  <c r="N454" s="1"/>
  <c r="O456"/>
  <c r="O454" s="1"/>
  <c r="P456"/>
  <c r="P461" s="1"/>
  <c r="H465"/>
  <c r="I465"/>
  <c r="J465"/>
  <c r="K465"/>
  <c r="G466"/>
  <c r="G467"/>
  <c r="G468"/>
  <c r="G469"/>
  <c r="G470"/>
  <c r="G471"/>
  <c r="G472"/>
  <c r="G473"/>
  <c r="G474"/>
  <c r="G475"/>
  <c r="G477"/>
  <c r="G478"/>
  <c r="G479"/>
  <c r="G481"/>
  <c r="G482"/>
  <c r="G483"/>
  <c r="G485"/>
  <c r="G486"/>
  <c r="G487"/>
  <c r="G488"/>
  <c r="G489"/>
  <c r="G490"/>
  <c r="G491"/>
  <c r="G493"/>
  <c r="G494"/>
  <c r="G495"/>
  <c r="G496"/>
  <c r="G497"/>
  <c r="G498"/>
  <c r="G499"/>
  <c r="G510"/>
  <c r="G511"/>
  <c r="G512"/>
  <c r="G513"/>
  <c r="G514"/>
  <c r="G515"/>
  <c r="G516"/>
  <c r="H536"/>
  <c r="I536"/>
  <c r="J536"/>
  <c r="K536"/>
  <c r="G537"/>
  <c r="G538"/>
  <c r="G539"/>
  <c r="G540"/>
  <c r="G541"/>
  <c r="G542"/>
  <c r="G543"/>
  <c r="G544"/>
  <c r="G545"/>
  <c r="G546"/>
  <c r="G547"/>
  <c r="G548"/>
  <c r="G549"/>
  <c r="G550"/>
  <c r="G551"/>
  <c r="G552"/>
  <c r="G553"/>
  <c r="G554"/>
  <c r="F19" i="18"/>
  <c r="F24"/>
  <c r="G24"/>
  <c r="H24"/>
  <c r="I24"/>
  <c r="J24"/>
  <c r="K24"/>
  <c r="L24"/>
  <c r="M24"/>
  <c r="H37"/>
  <c r="I37"/>
  <c r="J37"/>
  <c r="L37"/>
  <c r="M37"/>
  <c r="G46"/>
  <c r="H46"/>
  <c r="I46"/>
  <c r="J47"/>
  <c r="J46" s="1"/>
  <c r="K47"/>
  <c r="K46" s="1"/>
  <c r="L47"/>
  <c r="L46" s="1"/>
  <c r="M47"/>
  <c r="M46" s="1"/>
  <c r="P25" i="17"/>
  <c r="P22" s="1"/>
  <c r="Q25"/>
  <c r="Q22" s="1"/>
  <c r="R25"/>
  <c r="R22" s="1"/>
  <c r="S25"/>
  <c r="S22" s="1"/>
  <c r="T25"/>
  <c r="T22" s="1"/>
  <c r="N26"/>
  <c r="N22" s="1"/>
  <c r="P30"/>
  <c r="P26" s="1"/>
  <c r="Q30"/>
  <c r="Q27" s="1"/>
  <c r="R30"/>
  <c r="S30"/>
  <c r="T30"/>
  <c r="L49"/>
  <c r="L52"/>
  <c r="M52"/>
  <c r="N52"/>
  <c r="O52"/>
  <c r="P52"/>
  <c r="Q52"/>
  <c r="R52"/>
  <c r="S52"/>
  <c r="T52"/>
  <c r="Q349" i="19" l="1"/>
  <c r="Q389"/>
  <c r="L363"/>
  <c r="Q358"/>
  <c r="L346"/>
  <c r="Q341"/>
  <c r="B32" i="20"/>
  <c r="B31"/>
  <c r="O429" i="19"/>
  <c r="H68"/>
  <c r="G68" s="1"/>
  <c r="G70"/>
  <c r="O22" i="17"/>
  <c r="M238" i="19"/>
  <c r="N24" i="17"/>
  <c r="K171" i="19"/>
  <c r="G215"/>
  <c r="K169"/>
  <c r="I120"/>
  <c r="I125"/>
  <c r="I19" s="1"/>
  <c r="P146"/>
  <c r="T36" i="17"/>
  <c r="L146" i="19"/>
  <c r="P35" i="17" s="1"/>
  <c r="P36"/>
  <c r="H59" i="19"/>
  <c r="H21" s="1"/>
  <c r="L22" i="17"/>
  <c r="M146" i="19"/>
  <c r="Q36" i="17"/>
  <c r="N146" i="19"/>
  <c r="R36" i="17"/>
  <c r="K31" i="19"/>
  <c r="O27" i="17"/>
  <c r="O146" i="19"/>
  <c r="S36" i="17"/>
  <c r="K146" i="19"/>
  <c r="O35" i="17" s="1"/>
  <c r="O36"/>
  <c r="H18" i="19"/>
  <c r="G18" s="1"/>
  <c r="J146"/>
  <c r="N248"/>
  <c r="G390"/>
  <c r="G366"/>
  <c r="G349"/>
  <c r="G348"/>
  <c r="G340"/>
  <c r="K446"/>
  <c r="G448"/>
  <c r="K413"/>
  <c r="G413" s="1"/>
  <c r="G408"/>
  <c r="G389"/>
  <c r="K282"/>
  <c r="G284"/>
  <c r="K230"/>
  <c r="G224"/>
  <c r="G128"/>
  <c r="H16"/>
  <c r="K461"/>
  <c r="G456"/>
  <c r="G424"/>
  <c r="K421"/>
  <c r="G416"/>
  <c r="G407"/>
  <c r="K405"/>
  <c r="G400"/>
  <c r="G382"/>
  <c r="G358"/>
  <c r="G357"/>
  <c r="K330"/>
  <c r="G325"/>
  <c r="K306"/>
  <c r="G308"/>
  <c r="K298"/>
  <c r="G298" s="1"/>
  <c r="G300"/>
  <c r="G292"/>
  <c r="K274"/>
  <c r="G276"/>
  <c r="G267"/>
  <c r="G251"/>
  <c r="K238"/>
  <c r="G233"/>
  <c r="K206"/>
  <c r="G208"/>
  <c r="K205"/>
  <c r="G200"/>
  <c r="K445"/>
  <c r="G440"/>
  <c r="K379"/>
  <c r="G374"/>
  <c r="K346"/>
  <c r="G346" s="1"/>
  <c r="G341"/>
  <c r="K338"/>
  <c r="G333"/>
  <c r="K321"/>
  <c r="G316"/>
  <c r="K264"/>
  <c r="G259"/>
  <c r="K239"/>
  <c r="G239" s="1"/>
  <c r="G241"/>
  <c r="G216"/>
  <c r="T26" i="17"/>
  <c r="T27"/>
  <c r="R26"/>
  <c r="R27"/>
  <c r="S26"/>
  <c r="S27"/>
  <c r="M22"/>
  <c r="M387" i="19"/>
  <c r="P313"/>
  <c r="N264"/>
  <c r="M247"/>
  <c r="G28"/>
  <c r="O305"/>
  <c r="K213"/>
  <c r="M445"/>
  <c r="P387"/>
  <c r="L387"/>
  <c r="M379"/>
  <c r="N330"/>
  <c r="K313"/>
  <c r="K289"/>
  <c r="O264"/>
  <c r="N213"/>
  <c r="G27"/>
  <c r="K16"/>
  <c r="O247"/>
  <c r="K247"/>
  <c r="K249"/>
  <c r="P247"/>
  <c r="N247"/>
  <c r="L247"/>
  <c r="N453"/>
  <c r="H22"/>
  <c r="P453"/>
  <c r="O453"/>
  <c r="K453"/>
  <c r="R43" i="17"/>
  <c r="N297" i="19"/>
  <c r="O16"/>
  <c r="M16"/>
  <c r="P272"/>
  <c r="P16"/>
  <c r="L16"/>
  <c r="N16" s="1"/>
  <c r="J16"/>
  <c r="P169"/>
  <c r="N169"/>
  <c r="L169"/>
  <c r="P198"/>
  <c r="P197" s="1"/>
  <c r="P171"/>
  <c r="N198"/>
  <c r="N171"/>
  <c r="L198"/>
  <c r="L171"/>
  <c r="Q171" s="1"/>
  <c r="O169"/>
  <c r="M169"/>
  <c r="O171"/>
  <c r="M205"/>
  <c r="M171"/>
  <c r="P338"/>
  <c r="O221"/>
  <c r="I156"/>
  <c r="G156" s="1"/>
  <c r="L338"/>
  <c r="O321"/>
  <c r="P297"/>
  <c r="L297"/>
  <c r="O289"/>
  <c r="L272"/>
  <c r="N256"/>
  <c r="N23" s="1"/>
  <c r="M230"/>
  <c r="M221"/>
  <c r="I153"/>
  <c r="I151" s="1"/>
  <c r="G151" s="1"/>
  <c r="G114"/>
  <c r="G112"/>
  <c r="H33"/>
  <c r="J33"/>
  <c r="J31"/>
  <c r="P28" i="17"/>
  <c r="P27" s="1"/>
  <c r="D30" i="20"/>
  <c r="S47" i="17"/>
  <c r="S39"/>
  <c r="Q47"/>
  <c r="Q39"/>
  <c r="M39"/>
  <c r="M21" s="1"/>
  <c r="T47"/>
  <c r="T39"/>
  <c r="R47"/>
  <c r="R39"/>
  <c r="P47"/>
  <c r="P39"/>
  <c r="S44"/>
  <c r="L45"/>
  <c r="L38" s="1"/>
  <c r="O461" i="19"/>
  <c r="M421"/>
  <c r="O405"/>
  <c r="P379"/>
  <c r="L379"/>
  <c r="O347"/>
  <c r="M339"/>
  <c r="P305"/>
  <c r="N305"/>
  <c r="K257"/>
  <c r="O48" i="17"/>
  <c r="O46" s="1"/>
  <c r="S43"/>
  <c r="R42"/>
  <c r="M461" i="19"/>
  <c r="N445"/>
  <c r="N429"/>
  <c r="N421"/>
  <c r="O371"/>
  <c r="L305"/>
  <c r="M289"/>
  <c r="O281"/>
  <c r="N230"/>
  <c r="K222"/>
  <c r="G157"/>
  <c r="I79"/>
  <c r="K414"/>
  <c r="G414" s="1"/>
  <c r="K398"/>
  <c r="K388"/>
  <c r="M371"/>
  <c r="L356"/>
  <c r="L339"/>
  <c r="K339"/>
  <c r="O338"/>
  <c r="M321"/>
  <c r="O297"/>
  <c r="M297"/>
  <c r="M281"/>
  <c r="N272"/>
  <c r="O238"/>
  <c r="G465"/>
  <c r="M45" i="17"/>
  <c r="M38" s="1"/>
  <c r="N406" i="19"/>
  <c r="K323"/>
  <c r="K198"/>
  <c r="M347"/>
  <c r="G536"/>
  <c r="P454"/>
  <c r="K438"/>
  <c r="P414"/>
  <c r="P398"/>
  <c r="L398"/>
  <c r="O388"/>
  <c r="M388"/>
  <c r="K372"/>
  <c r="G372" s="1"/>
  <c r="P356"/>
  <c r="P347"/>
  <c r="K347"/>
  <c r="M323"/>
  <c r="M330"/>
  <c r="P314"/>
  <c r="P321"/>
  <c r="L314"/>
  <c r="L321"/>
  <c r="L282"/>
  <c r="O265"/>
  <c r="O272"/>
  <c r="N231"/>
  <c r="N238"/>
  <c r="M48" i="17"/>
  <c r="N44"/>
  <c r="G509" i="19"/>
  <c r="N461"/>
  <c r="L453"/>
  <c r="M446"/>
  <c r="O438"/>
  <c r="L438"/>
  <c r="L429"/>
  <c r="P422"/>
  <c r="P406"/>
  <c r="O406"/>
  <c r="N388"/>
  <c r="K380"/>
  <c r="G380" s="1"/>
  <c r="N380"/>
  <c r="P371"/>
  <c r="N371"/>
  <c r="L371"/>
  <c r="K364"/>
  <c r="G364" s="1"/>
  <c r="O356"/>
  <c r="K356"/>
  <c r="G354"/>
  <c r="N347"/>
  <c r="K331"/>
  <c r="G331" s="1"/>
  <c r="O323"/>
  <c r="N314"/>
  <c r="O313"/>
  <c r="O306"/>
  <c r="M306"/>
  <c r="M313"/>
  <c r="N289"/>
  <c r="P274"/>
  <c r="O249"/>
  <c r="O206"/>
  <c r="P205"/>
  <c r="N205"/>
  <c r="L205"/>
  <c r="G131"/>
  <c r="J120"/>
  <c r="J125"/>
  <c r="J19" s="1"/>
  <c r="G122"/>
  <c r="H125"/>
  <c r="G117"/>
  <c r="J79"/>
  <c r="J84"/>
  <c r="J26" s="1"/>
  <c r="G26" s="1"/>
  <c r="G62"/>
  <c r="I60"/>
  <c r="I48"/>
  <c r="I53"/>
  <c r="I20" s="1"/>
  <c r="L31"/>
  <c r="M206"/>
  <c r="N42" i="17"/>
  <c r="I106" i="19"/>
  <c r="I22" s="1"/>
  <c r="I101"/>
  <c r="G85"/>
  <c r="P323"/>
  <c r="K231"/>
  <c r="O222"/>
  <c r="O42" i="17"/>
  <c r="G147" i="19"/>
  <c r="J139"/>
  <c r="J126" s="1"/>
  <c r="G136"/>
  <c r="G111"/>
  <c r="G94"/>
  <c r="H107"/>
  <c r="I462"/>
  <c r="J462"/>
  <c r="G463"/>
  <c r="Q48" i="17"/>
  <c r="T48"/>
  <c r="R48"/>
  <c r="P48"/>
  <c r="L48"/>
  <c r="L46" s="1"/>
  <c r="S48"/>
  <c r="S31"/>
  <c r="K462" i="19"/>
  <c r="K66"/>
  <c r="K32" s="1"/>
  <c r="P397"/>
  <c r="P388"/>
  <c r="M305"/>
  <c r="M272"/>
  <c r="J53"/>
  <c r="J20" s="1"/>
  <c r="O43" i="17"/>
  <c r="P438" i="19"/>
  <c r="P445"/>
  <c r="K256"/>
  <c r="O39" i="17" s="1"/>
  <c r="P230" i="19"/>
  <c r="N43" i="17"/>
  <c r="K454" i="19"/>
  <c r="O380"/>
  <c r="K305"/>
  <c r="T44" i="17"/>
  <c r="P238" i="19"/>
  <c r="N214"/>
  <c r="N221"/>
  <c r="K214"/>
  <c r="P213"/>
  <c r="T42" i="17"/>
  <c r="N405" i="19"/>
  <c r="N372"/>
  <c r="N313"/>
  <c r="L306"/>
  <c r="L313"/>
  <c r="L231"/>
  <c r="L238"/>
  <c r="I141"/>
  <c r="J48"/>
  <c r="L221"/>
  <c r="L214"/>
  <c r="P339"/>
  <c r="O44" i="17"/>
  <c r="L230" i="19"/>
  <c r="G142"/>
  <c r="G77"/>
  <c r="O339"/>
  <c r="H74"/>
  <c r="G76"/>
  <c r="G34"/>
  <c r="H126"/>
  <c r="L33" i="17" s="1"/>
  <c r="G134" i="19"/>
  <c r="H133"/>
  <c r="G160"/>
  <c r="H159"/>
  <c r="G159" s="1"/>
  <c r="N274"/>
  <c r="R44" i="17"/>
  <c r="O198" i="19"/>
  <c r="S42" i="17"/>
  <c r="H144" i="19"/>
  <c r="O421"/>
  <c r="K297"/>
  <c r="G464"/>
  <c r="P413"/>
  <c r="L347"/>
  <c r="Q347" s="1"/>
  <c r="L274"/>
  <c r="P44" i="17"/>
  <c r="P31"/>
  <c r="K429" i="19"/>
  <c r="K422"/>
  <c r="O379"/>
  <c r="N339"/>
  <c r="L330"/>
  <c r="L281"/>
  <c r="M257"/>
  <c r="M264"/>
  <c r="T43" i="17"/>
  <c r="I90" i="19"/>
  <c r="G92"/>
  <c r="G35"/>
  <c r="L421"/>
  <c r="K290"/>
  <c r="P264"/>
  <c r="G44"/>
  <c r="H47"/>
  <c r="H42"/>
  <c r="G42" s="1"/>
  <c r="Q31" i="17"/>
  <c r="Q26"/>
  <c r="G363" i="19"/>
  <c r="H93"/>
  <c r="I133"/>
  <c r="H462"/>
  <c r="P43" i="17"/>
  <c r="L249" i="19"/>
  <c r="L248" s="1"/>
  <c r="K272"/>
  <c r="L256"/>
  <c r="L23" s="1"/>
  <c r="L454"/>
  <c r="L461"/>
  <c r="M405"/>
  <c r="K314"/>
  <c r="C30" i="20"/>
  <c r="B30" s="1"/>
  <c r="J88" i="19"/>
  <c r="J93"/>
  <c r="J25" s="1"/>
  <c r="H129"/>
  <c r="L406"/>
  <c r="P282"/>
  <c r="J54"/>
  <c r="G54" s="1"/>
  <c r="J59"/>
  <c r="J21" s="1"/>
  <c r="K406"/>
  <c r="K265"/>
  <c r="G265" s="1"/>
  <c r="L264"/>
  <c r="P249"/>
  <c r="P248" s="1"/>
  <c r="J101"/>
  <c r="J106"/>
  <c r="J60"/>
  <c r="J65"/>
  <c r="H30"/>
  <c r="G30" s="1"/>
  <c r="T31" i="17"/>
  <c r="N356" i="19"/>
  <c r="Q356" s="1"/>
  <c r="N45" i="17"/>
  <c r="P256" i="19"/>
  <c r="P23" s="1"/>
  <c r="L213"/>
  <c r="P42" i="17"/>
  <c r="R31"/>
  <c r="M429" i="19"/>
  <c r="M422"/>
  <c r="Q44" i="17"/>
  <c r="M249" i="19"/>
  <c r="Q43" i="17"/>
  <c r="P221" i="19"/>
  <c r="G164"/>
  <c r="M406"/>
  <c r="M198"/>
  <c r="Q42" i="17"/>
  <c r="G81" i="19"/>
  <c r="I59"/>
  <c r="I21" s="1"/>
  <c r="L388"/>
  <c r="Q388" s="1"/>
  <c r="D24" i="20"/>
  <c r="N27" i="17"/>
  <c r="C24" i="20"/>
  <c r="B24" s="1"/>
  <c r="G103" i="19"/>
  <c r="G56"/>
  <c r="G50"/>
  <c r="I33"/>
  <c r="Q169" l="1"/>
  <c r="Q339"/>
  <c r="M322"/>
  <c r="N17"/>
  <c r="N322"/>
  <c r="H31"/>
  <c r="G31" s="1"/>
  <c r="H71"/>
  <c r="G71" s="1"/>
  <c r="H66"/>
  <c r="G66" s="1"/>
  <c r="K168"/>
  <c r="K19"/>
  <c r="L322"/>
  <c r="Q322" s="1"/>
  <c r="G16"/>
  <c r="G120"/>
  <c r="R35" i="17"/>
  <c r="R24" s="1"/>
  <c r="R23" s="1"/>
  <c r="K29" i="18" s="1"/>
  <c r="N29" i="19"/>
  <c r="T35" i="17"/>
  <c r="T24" s="1"/>
  <c r="P29" i="19"/>
  <c r="Q35" i="17"/>
  <c r="Q24" s="1"/>
  <c r="Q23" s="1"/>
  <c r="J29" i="18" s="1"/>
  <c r="M29" i="19"/>
  <c r="S35" i="17"/>
  <c r="S24" s="1"/>
  <c r="S23" s="1"/>
  <c r="L29" i="18" s="1"/>
  <c r="L19" s="1"/>
  <c r="O29" i="19"/>
  <c r="L29"/>
  <c r="O45" i="17"/>
  <c r="O38" s="1"/>
  <c r="O37" s="1"/>
  <c r="Q45"/>
  <c r="Q38" s="1"/>
  <c r="Q37" s="1"/>
  <c r="P38"/>
  <c r="P37" s="1"/>
  <c r="O21"/>
  <c r="L19" i="19"/>
  <c r="O19"/>
  <c r="O17" s="1"/>
  <c r="M248"/>
  <c r="P19"/>
  <c r="P17" s="1"/>
  <c r="P15" s="1"/>
  <c r="M19"/>
  <c r="M17" s="1"/>
  <c r="M15" s="1"/>
  <c r="G125"/>
  <c r="N38" i="17"/>
  <c r="N37" s="1"/>
  <c r="H23" i="19"/>
  <c r="G371"/>
  <c r="G314"/>
  <c r="G297"/>
  <c r="N273"/>
  <c r="O248"/>
  <c r="L273"/>
  <c r="O322"/>
  <c r="K322"/>
  <c r="P322"/>
  <c r="M273"/>
  <c r="P273"/>
  <c r="K273"/>
  <c r="O273"/>
  <c r="K248"/>
  <c r="G281"/>
  <c r="G274"/>
  <c r="G221"/>
  <c r="G222"/>
  <c r="P46" i="17"/>
  <c r="G422" i="19"/>
  <c r="G214"/>
  <c r="G231"/>
  <c r="G356"/>
  <c r="G398"/>
  <c r="G387"/>
  <c r="G453"/>
  <c r="G247"/>
  <c r="G289"/>
  <c r="G379"/>
  <c r="G445"/>
  <c r="G421"/>
  <c r="G230"/>
  <c r="G282"/>
  <c r="G256"/>
  <c r="G438"/>
  <c r="G198"/>
  <c r="G257"/>
  <c r="G406"/>
  <c r="G272"/>
  <c r="G290"/>
  <c r="G429"/>
  <c r="G305"/>
  <c r="G454"/>
  <c r="G347"/>
  <c r="G323"/>
  <c r="G339"/>
  <c r="G388"/>
  <c r="R21" i="17"/>
  <c r="G249" i="19"/>
  <c r="G313"/>
  <c r="G213"/>
  <c r="I146"/>
  <c r="G264"/>
  <c r="G321"/>
  <c r="G338"/>
  <c r="G205"/>
  <c r="G206"/>
  <c r="G238"/>
  <c r="G306"/>
  <c r="G330"/>
  <c r="G405"/>
  <c r="G461"/>
  <c r="G446"/>
  <c r="Q21" i="17"/>
  <c r="T23"/>
  <c r="M29" i="18" s="1"/>
  <c r="M19" s="1"/>
  <c r="S21" i="17"/>
  <c r="P21"/>
  <c r="T21"/>
  <c r="G79" i="19"/>
  <c r="N197"/>
  <c r="G20"/>
  <c r="G60"/>
  <c r="J100"/>
  <c r="N31" i="17" s="1"/>
  <c r="P24"/>
  <c r="P23" s="1"/>
  <c r="I29" i="18" s="1"/>
  <c r="I28" s="1"/>
  <c r="G106" i="19"/>
  <c r="O197"/>
  <c r="K197"/>
  <c r="L168"/>
  <c r="G48"/>
  <c r="G33"/>
  <c r="M197"/>
  <c r="G153"/>
  <c r="G53"/>
  <c r="J32"/>
  <c r="K29"/>
  <c r="H100"/>
  <c r="M37" i="17"/>
  <c r="S46"/>
  <c r="T46"/>
  <c r="R38"/>
  <c r="R37" s="1"/>
  <c r="N46"/>
  <c r="Q46"/>
  <c r="R46"/>
  <c r="M46"/>
  <c r="S38"/>
  <c r="S37" s="1"/>
  <c r="J22" i="19"/>
  <c r="G22" s="1"/>
  <c r="G84"/>
  <c r="G101"/>
  <c r="I168"/>
  <c r="G21"/>
  <c r="I127"/>
  <c r="G127" s="1"/>
  <c r="G65"/>
  <c r="P168"/>
  <c r="G171"/>
  <c r="M168"/>
  <c r="G462"/>
  <c r="L197"/>
  <c r="O168"/>
  <c r="I139"/>
  <c r="G169"/>
  <c r="T38" i="17"/>
  <c r="G133" i="19"/>
  <c r="D22" i="20"/>
  <c r="J168" i="19"/>
  <c r="I88"/>
  <c r="I32" s="1"/>
  <c r="I93"/>
  <c r="I25" s="1"/>
  <c r="N168"/>
  <c r="G74"/>
  <c r="H72"/>
  <c r="H32" s="1"/>
  <c r="H78"/>
  <c r="H132"/>
  <c r="G129"/>
  <c r="C22" i="20"/>
  <c r="B22" s="1"/>
  <c r="G141" i="19"/>
  <c r="G90"/>
  <c r="H25"/>
  <c r="G47"/>
  <c r="G59"/>
  <c r="O15" l="1"/>
  <c r="Q17"/>
  <c r="Q168"/>
  <c r="N15"/>
  <c r="G32"/>
  <c r="L17"/>
  <c r="L28" i="18"/>
  <c r="I126" i="19"/>
  <c r="N20" i="17"/>
  <c r="N19" s="1"/>
  <c r="L31"/>
  <c r="H322" i="19"/>
  <c r="G273"/>
  <c r="G132"/>
  <c r="G248"/>
  <c r="M27" i="17"/>
  <c r="G197" i="19"/>
  <c r="J29"/>
  <c r="J17"/>
  <c r="J15" s="1"/>
  <c r="H19"/>
  <c r="G19" s="1"/>
  <c r="R19" i="17"/>
  <c r="R20"/>
  <c r="G144" i="19"/>
  <c r="S19" i="17"/>
  <c r="S20"/>
  <c r="G93" i="19"/>
  <c r="G25"/>
  <c r="K17"/>
  <c r="K15" s="1"/>
  <c r="G168"/>
  <c r="G23"/>
  <c r="G139"/>
  <c r="T37" i="17"/>
  <c r="T19" s="1"/>
  <c r="T20"/>
  <c r="P19"/>
  <c r="P20"/>
  <c r="G88" i="19"/>
  <c r="G146"/>
  <c r="M28" i="18"/>
  <c r="Q19" i="17"/>
  <c r="Q20"/>
  <c r="K28" i="18"/>
  <c r="G78" i="19"/>
  <c r="H24"/>
  <c r="G24" s="1"/>
  <c r="J28" i="18"/>
  <c r="J20" s="1"/>
  <c r="J19" s="1"/>
  <c r="G72" i="19"/>
  <c r="L15" l="1"/>
  <c r="L21" i="17"/>
  <c r="L27"/>
  <c r="G322" i="19"/>
  <c r="H17"/>
  <c r="H15" s="1"/>
  <c r="G126"/>
  <c r="H29"/>
  <c r="G29" s="1"/>
  <c r="L20" i="17" l="1"/>
  <c r="G109" i="19"/>
  <c r="I107"/>
  <c r="G107" s="1"/>
  <c r="G100" s="1"/>
  <c r="I100" l="1"/>
  <c r="M24" i="17"/>
  <c r="M20" s="1"/>
  <c r="G110" i="19"/>
  <c r="I17" l="1"/>
  <c r="M23" i="17"/>
  <c r="I15" i="19" l="1"/>
  <c r="G15" s="1"/>
  <c r="G17"/>
  <c r="M19" i="17"/>
  <c r="O24"/>
  <c r="O20" l="1"/>
  <c r="O19" s="1"/>
  <c r="O23"/>
  <c r="F32" i="22"/>
  <c r="F49"/>
</calcChain>
</file>

<file path=xl/comments1.xml><?xml version="1.0" encoding="utf-8"?>
<comments xmlns="http://schemas.openxmlformats.org/spreadsheetml/2006/main">
  <authors>
    <author>Пользователь</author>
  </authors>
  <commentList>
    <comment ref="H76" authorId="0">
      <text>
        <r>
          <rPr>
            <b/>
            <sz val="9"/>
            <color indexed="81"/>
            <rFont val="Tahoma"/>
            <family val="2"/>
            <charset val="204"/>
          </rPr>
          <t>Пользователь:</t>
        </r>
        <r>
          <rPr>
            <sz val="9"/>
            <color indexed="81"/>
            <rFont val="Tahoma"/>
            <family val="2"/>
            <charset val="204"/>
          </rPr>
          <t xml:space="preserve">
10 194,5+200 = 10394,5 (по программе) -10 119 822,60 
(по закону о бюджете на дек 2017) = 274,7 с какого мероприятия?</t>
        </r>
      </text>
    </comment>
  </commentList>
</comments>
</file>

<file path=xl/sharedStrings.xml><?xml version="1.0" encoding="utf-8"?>
<sst xmlns="http://schemas.openxmlformats.org/spreadsheetml/2006/main" count="4473" uniqueCount="644">
  <si>
    <t>Наименование государственной программы</t>
  </si>
  <si>
    <t>(указать наименование государственной программы)</t>
  </si>
  <si>
    <t>Ответственный исполнитель</t>
  </si>
  <si>
    <t>(указать наименование исполнительного органа государственной власти  Удмуртской Республики)</t>
  </si>
  <si>
    <t>Код аналитической программной классификации</t>
  </si>
  <si>
    <t>№ п/п</t>
  </si>
  <si>
    <t>Наименование целевого показателя (индикатора)</t>
  </si>
  <si>
    <t>Единица измерения</t>
  </si>
  <si>
    <t>Значения целевых показателей (индикаторов)</t>
  </si>
  <si>
    <t>ГП</t>
  </si>
  <si>
    <t>Пп</t>
  </si>
  <si>
    <t>отчет</t>
  </si>
  <si>
    <t>прогноз</t>
  </si>
  <si>
    <t>07</t>
  </si>
  <si>
    <t>%</t>
  </si>
  <si>
    <t>01</t>
  </si>
  <si>
    <t>02</t>
  </si>
  <si>
    <t>03</t>
  </si>
  <si>
    <t>04</t>
  </si>
  <si>
    <t>Приложение 2</t>
  </si>
  <si>
    <t xml:space="preserve">Ответственный исполнитель </t>
  </si>
  <si>
    <t>Наименование подпрограммы, основного мероприятия, мероприятия</t>
  </si>
  <si>
    <t>Ответственный исполнитель, соисполнители подпрограммы, основного мероприятия, мероприятия</t>
  </si>
  <si>
    <t>Срок выполнения</t>
  </si>
  <si>
    <t>Ожидаемый непосредственный результат</t>
  </si>
  <si>
    <t>ОМ</t>
  </si>
  <si>
    <t>М</t>
  </si>
  <si>
    <t>Министерство социальной защиты населения Удмуртской Республики</t>
  </si>
  <si>
    <t>06</t>
  </si>
  <si>
    <t>05</t>
  </si>
  <si>
    <t>08</t>
  </si>
  <si>
    <t>09</t>
  </si>
  <si>
    <t>Приложение 3</t>
  </si>
  <si>
    <t>Наименование государственной услуги (работы)</t>
  </si>
  <si>
    <t>Наименование показателя, характеризующего объем государственной услуги (работы)</t>
  </si>
  <si>
    <t>Единица измерения объема государственной услуги (работы)</t>
  </si>
  <si>
    <t>Значение показателя объема государственной услуги(работы)</t>
  </si>
  <si>
    <t>Расходы бюджета Удмуртской Республики на оказание государственной услуги (выполнение работы), тыс. рублей</t>
  </si>
  <si>
    <t>Наименование меры                                        государственного регулирования</t>
  </si>
  <si>
    <t>Показатель применения меры</t>
  </si>
  <si>
    <t>2013 г.</t>
  </si>
  <si>
    <t>2014 г.</t>
  </si>
  <si>
    <t>Приложение 5</t>
  </si>
  <si>
    <t>Наименование государственной программы, подпрограммы, основного мероприятия, мероприятия</t>
  </si>
  <si>
    <t>Код бюджетной классификации</t>
  </si>
  <si>
    <t>Код главы</t>
  </si>
  <si>
    <t>Рз</t>
  </si>
  <si>
    <t>Пр</t>
  </si>
  <si>
    <t>ЦС</t>
  </si>
  <si>
    <t>ВР</t>
  </si>
  <si>
    <t>всего</t>
  </si>
  <si>
    <t>Х</t>
  </si>
  <si>
    <t>10</t>
  </si>
  <si>
    <t>____________________________________________________________________________</t>
  </si>
  <si>
    <t>Наименование государственной программы, подпрограммы</t>
  </si>
  <si>
    <t>Источник финансирования</t>
  </si>
  <si>
    <t>субвенции из федерального бюджета</t>
  </si>
  <si>
    <t>субсидии и субвенции из федерального бюджета, планируемые к получению</t>
  </si>
  <si>
    <t>Территориальный фонд обязательного медицинского страхования Удмуртской Республики</t>
  </si>
  <si>
    <t>иные источники</t>
  </si>
  <si>
    <t>факт</t>
  </si>
  <si>
    <t>2011 год</t>
  </si>
  <si>
    <t>2012 год</t>
  </si>
  <si>
    <t>Приложение 4</t>
  </si>
  <si>
    <t>Наименование меры государственного регулирования</t>
  </si>
  <si>
    <t>Финансовая оценка результата, тыс. руб.</t>
  </si>
  <si>
    <t>Краткое обоснование необходимости применения меры для достижения целей государственной цели</t>
  </si>
  <si>
    <t>2012 г.</t>
  </si>
  <si>
    <t>Ответственный исполнитель, соисполнитель</t>
  </si>
  <si>
    <t>ИТОГО по государственной программе</t>
  </si>
  <si>
    <t>2016 год</t>
  </si>
  <si>
    <t>2017 год</t>
  </si>
  <si>
    <t>2018 год</t>
  </si>
  <si>
    <t>2019 год</t>
  </si>
  <si>
    <t>2020 год</t>
  </si>
  <si>
    <t>Взаимосвязь с целевыми показателями (индикаторами)</t>
  </si>
  <si>
    <t>Министерство здравоохранения Удмуртской Республики</t>
  </si>
  <si>
    <t>Агентство печати и массовых коммуникаций Удмуртской Республики</t>
  </si>
  <si>
    <t>Министерство образования и науки Удмуртской Республики</t>
  </si>
  <si>
    <t xml:space="preserve">Прогнозная (справочная) оценка ресурсного обеспечения реализации государственной программы за счет всех источников финансирования </t>
  </si>
  <si>
    <t>бюджет Удмуртской Республики, в том числе:</t>
  </si>
  <si>
    <t>субсидии из федерального бюджета</t>
  </si>
  <si>
    <t xml:space="preserve">«Доступная среда» </t>
  </si>
  <si>
    <t>39</t>
  </si>
  <si>
    <t>2021 год</t>
  </si>
  <si>
    <t>2022 год</t>
  </si>
  <si>
    <t>Цель и задачи государственной программы</t>
  </si>
  <si>
    <t>Повышение уровня доступности приоритетных объектов и услуг в приоритетных сферах жизнедеятельности инвалидов и других МГН</t>
  </si>
  <si>
    <t>Министерство по физической культуре, спорту и молодежной политике Удмуртской Республики</t>
  </si>
  <si>
    <t xml:space="preserve">Министерство труда и миграционной политики Удмуртской Республики </t>
  </si>
  <si>
    <t xml:space="preserve">Размещение аудио - и видеоматериалов по вопросам формирования доступной среды и реабилитации инвалидов на республиканских теле- и (или) радиоканалах </t>
  </si>
  <si>
    <t>Повышение доступности и качества реабилитационных услуг (развитие системы реабилитации и социальной интеграции инвалидов)</t>
  </si>
  <si>
    <t xml:space="preserve">Агентство печати и массовых коммуникаций Удмуртской Республики </t>
  </si>
  <si>
    <t>Создание службы «Социального такси» в городах Удмуртской Республики</t>
  </si>
  <si>
    <t>Поддержка программ развития общественных организаций, деятельность которых направлена на развитие видов спорта, включенных в программу паралимпийских и сурдлимпийских игр</t>
  </si>
  <si>
    <t xml:space="preserve">Создание единой базы персонифицированного учета инвалидов в Удмуртской Республике, формирование и обновление карты доступности объектов и услуг для инвалидов и МГН                                                </t>
  </si>
  <si>
    <t>Создание единой базы персонифицированного учета инвалидов в Удмуртской Республике, формирование и обновление карты доступности объектов и услуг для инвалидов и МГН</t>
  </si>
  <si>
    <t>Создание и сопровождение диспетчерской службы для инвалидов по слуху</t>
  </si>
  <si>
    <t>Информационно-методическое и кадровое обеспечение системы реабилитации и социальной интеграции инвалидов</t>
  </si>
  <si>
    <t>Обучение (профессиональная переподготовка, повышение квалификации) русскому жестовому языку переводчиков в сфере профессиональной коммуникации не слышащих (переводчик жестового языка) и переводчиков в сфере профессиональной коммуникации лиц с нарушением слуха и зрения (слепоглухих), в том числе тифлокомментаторов</t>
  </si>
  <si>
    <t>Организация и проведение республиканских научно-практических конференций, семинаров по проблемам реабилитации и социальной поддержки инвалидов и детей–инвалидов, формирования доступной среды,  а также участие во  Всероссийских конференциях, семинарах по данной проблематике</t>
  </si>
  <si>
    <t>Организация и проведение общественно-просветительских кампаний по распространению идей, принципов и средств формирования доступной среды для инвалидов и других маломобильных групп населения</t>
  </si>
  <si>
    <t xml:space="preserve">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МГН                                                                                                                                                                             </t>
  </si>
  <si>
    <t>Создание детской открытой игровой площадки, адаптированной для детей-инвалидов, в том числе разработка проектно-сметной документации</t>
  </si>
  <si>
    <t xml:space="preserve">Организация субтитрирования и сурдоперевода региональных телевизионных передач </t>
  </si>
  <si>
    <t>Организация межведомственного взаимодействия и профессионального сотрудничества в ранней коррекционной и реабилитационной работе с детьми – инвалидами, детьми с ограниченными возможностями здоровья и семьями их воспитывающим</t>
  </si>
  <si>
    <t>к государственной программе
Удмуртской Республики «Доступная среда»</t>
  </si>
  <si>
    <t xml:space="preserve">Ресурсное обеспечение реализации государственной программы за счет средств бюджета Удмуртской Республики  
</t>
  </si>
  <si>
    <t>__________«Доступная среда» _________</t>
  </si>
  <si>
    <t>Доступная среда</t>
  </si>
  <si>
    <t>Министерство труда и миграционной политики Удмуртской Республики</t>
  </si>
  <si>
    <t>Всего</t>
  </si>
  <si>
    <t>__________«Доступная среда»_____________</t>
  </si>
  <si>
    <t>__________«Доступная среда» ______</t>
  </si>
  <si>
    <t>Государственные задания на оказание государственных услуг, выполнение государственных работ государственными учреждениями Удмуртской Республики в рамках государственной программы не формируются</t>
  </si>
  <si>
    <t xml:space="preserve">Министерство образования и науки Удмуртской Республики 
</t>
  </si>
  <si>
    <t xml:space="preserve">к государственной программе </t>
  </si>
  <si>
    <t>Наименование мероприятий</t>
  </si>
  <si>
    <t>Источники финансирования и направления расходов</t>
  </si>
  <si>
    <t>Государственная программа Удмуртской Республики «Доступная среда»</t>
  </si>
  <si>
    <t>Всего, в том числе:</t>
  </si>
  <si>
    <t xml:space="preserve">Федеральный бюджет </t>
  </si>
  <si>
    <t>Бюджет Удмуртской Республики, из них:</t>
  </si>
  <si>
    <t>Бюджет Удмуртской Республики на софинансирование</t>
  </si>
  <si>
    <t>Федеральный бюджет</t>
  </si>
  <si>
    <t>3910000000</t>
  </si>
  <si>
    <t>3920000000</t>
  </si>
  <si>
    <t>3920200000</t>
  </si>
  <si>
    <t>3910100000</t>
  </si>
  <si>
    <t>3910200000</t>
  </si>
  <si>
    <t>3910300000</t>
  </si>
  <si>
    <t>3910400000</t>
  </si>
  <si>
    <t>__________________«Доступная среда»___________________</t>
  </si>
  <si>
    <t xml:space="preserve">      ___________«Доступная среда»__________</t>
  </si>
  <si>
    <t xml:space="preserve">                                (указать наименование государственной программы)</t>
  </si>
  <si>
    <t xml:space="preserve">2017 год </t>
  </si>
  <si>
    <t xml:space="preserve">2018 год </t>
  </si>
  <si>
    <t xml:space="preserve">2019 год </t>
  </si>
  <si>
    <t xml:space="preserve">2020 год </t>
  </si>
  <si>
    <t>Оценка расходов, тыс. руб.</t>
  </si>
  <si>
    <t>Меры государственного регулирования, подлежащие финансовой оценке  реализации государственной программы, не применяются</t>
  </si>
  <si>
    <t>Взаимодействие с коммерческими организациями, осуществляющими деятельность по организации отдыха и развлечений, спорта и культуры, в части обеспечения закупки оборудования, необходимого для осуществления кинопоказов с подготовленным субтитрированием и тифлокомментированием</t>
  </si>
  <si>
    <t>0</t>
  </si>
  <si>
    <t>1</t>
  </si>
  <si>
    <t>2</t>
  </si>
  <si>
    <t>Улучшение качества жизни инвалидов, семей, воспитывающих детей-инвалидов, развития индивидуальных спортивных способностей и приобретения новых знаний и умений в спортивных направлениях.</t>
  </si>
  <si>
    <t xml:space="preserve">Расходы бюджета Удмуртской Республики, тыс. рублей
</t>
  </si>
  <si>
    <t>Бюджет Удмуртской Республики без софинансирования</t>
  </si>
  <si>
    <t>Бюджет Удмуртской Республики, в том числе:</t>
  </si>
  <si>
    <t>Доступ инвалидам в спортивные объекты и участие в спортивных мероприятиях.</t>
  </si>
  <si>
    <t>Возможность инвалидам посещать учреждения культуры.</t>
  </si>
  <si>
    <t xml:space="preserve">Изменение отношения общества к лицам с ограниченными возможностями, что способствует  развитию и реализации творческого потенциала инвалидов. </t>
  </si>
  <si>
    <t>Создание детской открытой игровой площадки, которая будет полностью адаптирована для детей-инвалидов, оснащена необходимыми подъездными путями и игровыми элементами.</t>
  </si>
  <si>
    <t xml:space="preserve">Изменение отношения общества к лицам с ограниченными возможностями и создание доступной и доброжелательной атмосферы для  людей с инвалидностью в обществе. </t>
  </si>
  <si>
    <t>Увеличение количества специалистов учреждений спортивной направленности, прошедших обучение по адаптивной физической культуре и адаптивному спорту среди инвалидов (в том числе детей-инвалидов)</t>
  </si>
  <si>
    <t>Увеличение оказания квалифицированной консультационно-информативной, социальной помощи  инвалидам по слуху.</t>
  </si>
  <si>
    <t>Увеличение оказания консультационно-информативной, социальной помощи обратившимся  инвалидам по слуху.</t>
  </si>
  <si>
    <t xml:space="preserve">Доступ инвалидам к информации о доступности объектов и услуг, а также возможность получения информации об общественном транспорте в режиме реального времени (обычные и низкопольные автобусы). </t>
  </si>
  <si>
    <t xml:space="preserve">Увеличение количества реабилитационных услуг  лицам с ограниченными возможностями. </t>
  </si>
  <si>
    <t xml:space="preserve">Информирование инвалидов по слуху на республиканском телеканале «Моя Удмуртия», возможность организовать прокат социальных видеороликов, направленных на формирование толерантного отношения общества к инвалидам. </t>
  </si>
  <si>
    <t xml:space="preserve">Доступ инвалида к объектам социальной инфраструктуры. </t>
  </si>
  <si>
    <t xml:space="preserve">Увеличение количества оказанных услуг лицам с ограниченными возможностями здоровья. </t>
  </si>
  <si>
    <t>чел.</t>
  </si>
  <si>
    <t xml:space="preserve">Доступная среда </t>
  </si>
  <si>
    <t xml:space="preserve">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 </t>
  </si>
  <si>
    <t>Организация обучения специалистов организаций социального обслуживания и медицинских организаций по вопросам внедрения современных реабилитационных методик в системе ранней помощи</t>
  </si>
  <si>
    <t xml:space="preserve">Доступ инвалидов к медицинским организациям. </t>
  </si>
  <si>
    <t xml:space="preserve">Увеличение посещаемости культурно-массовых мероприятий лицами с ограниченными возможностями. Позволит инвалидам обучаться компьютерной грамоте.
</t>
  </si>
  <si>
    <t>3920100000</t>
  </si>
  <si>
    <t xml:space="preserve">Подпрограмма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 </t>
  </si>
  <si>
    <t>Министерство транспорта и дорожного хозяйства Удмуртской Республики</t>
  </si>
  <si>
    <t>Объем финансирования, тыс. руб.</t>
  </si>
  <si>
    <t>к государственной программе</t>
  </si>
  <si>
    <t>Удмуртской Республики «Доступная среда»</t>
  </si>
  <si>
    <t>Организация профессиональной ориентации инвалидов молодого возраста</t>
  </si>
  <si>
    <t>Разработка адаптированных интегрированных основных программ для обучения инвалидов молодого возраста с психофизическими нарушениями в условиях инклюзивного профессионального образования</t>
  </si>
  <si>
    <t>Организация и проведение мероприятий профессионально-карьерного сопровождения инвалидов молодого возраста, мероприятий по развитию предпринимательских навыков у инвалидов молодого возраста</t>
  </si>
  <si>
    <t>3</t>
  </si>
  <si>
    <t>Приложение 6</t>
  </si>
  <si>
    <t xml:space="preserve">к государственной программе
</t>
  </si>
  <si>
    <t>Увеличение числа трудоустроенных инвалидов молодого возраста</t>
  </si>
  <si>
    <t xml:space="preserve">Увеличение числа инвалидов молодого возраста, обратившихся в органы службы занятости населения в целях поиска работы в профессиональном самоопределении, выборе возможных направлений профессиональной деятельности
</t>
  </si>
  <si>
    <t>-</t>
  </si>
  <si>
    <t>Приложение 7</t>
  </si>
  <si>
    <t xml:space="preserve">Удмуртской Республики «Доступная среда» </t>
  </si>
  <si>
    <t>Улучшение качества жизни инвалидов, доступ к значимым объектам</t>
  </si>
  <si>
    <t>Обучение (подготовка, переподготовка, повышение квалификации) специалистов организаций спортивной направленности по адаптивной физической культуре и адаптивному спорту среди инвалидов (в том числе детей-инвалидов)</t>
  </si>
  <si>
    <t>Направление на профессиональное обучение и дополнительное профессиональное образование безработных инвалидов молодого возраста</t>
  </si>
  <si>
    <t>Оказание помощи в получении профессионального обучения и дополнительного профессионального образования безработным инвалидам молодого возраста</t>
  </si>
  <si>
    <t>Определение базовых профессиональных организаций для обучения безработных инвалидов молодого возраста по направлениям профессионального обучения и дополнительного профессионального образования</t>
  </si>
  <si>
    <t>Мониторинг профориентационных намерений инвалидов молодого возраста, в том числе обучающихся в старших классах общеобразовательных организаций</t>
  </si>
  <si>
    <t>Разработка проектов делового сотрудничества профессиональных образовательных организаций с работодателями и кадровыми службами предприятий Удмуртской Республики, органов службы занятости населения Удмуртской Республики по обучению и трудоустройству инвалидов</t>
  </si>
  <si>
    <t>подпрограмма «Сопровождение инвалидов молодого возраста при получении ими профессионального образования и содействие в последующем трудоустройстве»</t>
  </si>
  <si>
    <t>Составление индивидуальных профессиональных планов развития инвалидов молодого возраста, выпускающихся из образовательных организаций и оказание содействия в их реализации</t>
  </si>
  <si>
    <t>доля обучающихся инвалидов молодого возраста, принявших участие в профориентационных мероприятиях, в общей численности  обучающихся инвалидов молодого возраста</t>
  </si>
  <si>
    <t>доля выпускников-инвалидов 9 и 11 классов, охваченных профориентационной работой, в общей численности выпускников-инвалидов</t>
  </si>
  <si>
    <t>Организация профориентационного консультирования инвалидов молодого возраста</t>
  </si>
  <si>
    <t>Организация  профориентационного консультирования инвалидов молодого возраста</t>
  </si>
  <si>
    <t>доля инвалидов молодого возраста, получивших мероприятия по сопровождению при трудоустройстве, в общей численности инвалидов молодого возраста, обратившихся в органы службы занятности населения Удмуртской Республики</t>
  </si>
  <si>
    <t>Организация сопровождения при трудоустройстве инвалидам молодого возраста с учетом рекомендуемых в индивидуальной программе реабилитации или абилитации инвалида видов трудовой деятельности</t>
  </si>
  <si>
    <t>Разработка методических материалов по вопросам сопровождения при трудоустройстве инвалидам молодого возраста, выпускающимся из профессиональных образовательных организаций</t>
  </si>
  <si>
    <t xml:space="preserve">                                                                                                                                                                                   _____________________</t>
  </si>
  <si>
    <t>____________________</t>
  </si>
  <si>
    <t>_________________</t>
  </si>
  <si>
    <t>Поддержка учреждений спортивной направленности по адаптивной физической культуре и спорту</t>
  </si>
  <si>
    <t>11</t>
  </si>
  <si>
    <t>Обеспечение доступности для инвалидов услуг в сфере физической культуры и спорта. Развитие системы спортивной подготовки по паралимпийским, сурдлимпийским видам спорта. Развитие сети учреждений спортивной направленности по адаптивной физической культуре и спорту.</t>
  </si>
  <si>
    <t>Бюджет Удмуртской Республики</t>
  </si>
  <si>
    <t xml:space="preserve">Министерство по физической культуре, спорту и молодежной политике Удмуртской Республики </t>
  </si>
  <si>
    <t xml:space="preserve">                                            Перечень основных мероприятий государственной программы</t>
  </si>
  <si>
    <t xml:space="preserve"> доля приоритетных объектов, доступных для инвалидов и других МГН в сфере социальной защиты, в общем количестве приоритетных объектов в сфере социальной защиты</t>
  </si>
  <si>
    <t xml:space="preserve"> доля детей-инвалидов, которым созданы условия для получения качественного начального общего, основного общего, среднего общего образования, в общей численности детей-инвалидов школьного возраста</t>
  </si>
  <si>
    <t xml:space="preserve">доля детей-инвалидов в возрасте от 5 до 18 лет, получающих дополнительное образование, в общей численности детей-инвалидов данного возраста </t>
  </si>
  <si>
    <t xml:space="preserve"> доля приоритетных объектов органов службы занятости, доступных для инвалидов и других МГН, в общем количестве объектов органов службы занятости</t>
  </si>
  <si>
    <t xml:space="preserve"> доля приоритетных объектов, доступных для инвалидов и других МГН в сфере здравоохранения, в общем количестве приоритетных объектов в сфере здравоохранения</t>
  </si>
  <si>
    <t xml:space="preserve"> доля дошкольных образовательных организаций, в которых создана универсальная безбарьерная среда для инклюзивного образования детей-инвалидов, в общем количестве дошкольных образовательных организаций</t>
  </si>
  <si>
    <t xml:space="preserve"> доля детей-инвалидов в возрасте от 1,5 до 7 лет, охваченных дошкольным образованием, в общей численности детей-инвалидов данного возраста</t>
  </si>
  <si>
    <t xml:space="preserve"> доля общеобразовательных организаций, в которых создана универсальная безбарьерная среда для инклюзивного образования детей-инвалидов, в общем количестве общеобразовательных организаций</t>
  </si>
  <si>
    <t xml:space="preserve"> доля приоритетных объектов, доступных для инвалидов и других МГН в сфере культуры, в общем количестве приоритетных объектов в сфере культуры</t>
  </si>
  <si>
    <t xml:space="preserve"> доля приоритетных объектов транспортной инфраструктуры, доступных для инвалидов и других МГН, в общем количестве приоритетных объектов транспортной инфраструктуры</t>
  </si>
  <si>
    <t xml:space="preserve"> доля приоритетных объектов, доступных для инвалидов и других МГН в сфере физической культуры и спорта, в общем количестве приоритетных объектов</t>
  </si>
  <si>
    <t xml:space="preserve"> доля специалистов, прошедших обучение и повышение квалификации по вопросам реабилитации и социальной интеграции инвалидов, среди всех специалистов, занятых в этой сфере</t>
  </si>
  <si>
    <t xml:space="preserve"> доля инвалидов, положительно оценивающих отношение населения к проблемам инвалидов, в общей численности опрошенных инвалидов</t>
  </si>
  <si>
    <t>39.1.15</t>
  </si>
  <si>
    <t>Возможность инвалидам получать государственные услуги и реабилитационные мероприятия.</t>
  </si>
  <si>
    <t>Возможность инвалидам получать услуги в центрах занятости населения.</t>
  </si>
  <si>
    <t xml:space="preserve"> доля парка подвижного состава автомобильного и городского наземного электрического транспорта общего пользования, оборудованного для перевозки инвалидов и других МГН, в парке этого подвижного состава (автобусного, трамвайного, троллейбусного), в том числе</t>
  </si>
  <si>
    <t xml:space="preserve"> доля парка подвижного состава автомобильного (автобусного) транспорта общего пользования, оборудованного для перевозки инвалидов и других МГН, в парке подвижного состава автомобильного (автобусного) транспорта</t>
  </si>
  <si>
    <t xml:space="preserve"> доля парка подвижного состава городского наземного электрического (троллейбусного) транспорта общего пользования, оборудованного для перевозки инвалидов и других МГН, в парке  подвижного состава городского наземного электрического (троллейбусного) транспорта</t>
  </si>
  <si>
    <t xml:space="preserve"> доля парка подвижного состава  городского наземного электрического (трамвайного) транспорта общего пользования, оборудованного для перевозки инвалидов и других МГН, в парке подвижного состава городского наземного электрического (трамвайного) транспорта </t>
  </si>
  <si>
    <t xml:space="preserve">Министерство социальной  политики и труда Удмуртской Республики </t>
  </si>
  <si>
    <t xml:space="preserve">             _______Министерство социальной  политики и труда Удмуртской Республики _______</t>
  </si>
  <si>
    <t>Министерство социальной  политики и труда Удмуртской Республики</t>
  </si>
  <si>
    <t>Министерство социальной политики и труда Удмуртской Республики</t>
  </si>
  <si>
    <t>Министерство социальной  политики и труда Удмуртской Республики_____</t>
  </si>
  <si>
    <t>Министерство социальной  политики и труда Удмуртской Республики _____</t>
  </si>
  <si>
    <t>Министерство социальной  политики и труда  Удмуртской Республики</t>
  </si>
  <si>
    <t xml:space="preserve">Министерство социальной  политики и труда Удмуртской Республики
</t>
  </si>
  <si>
    <t>__Министерство социальной  политики и труда Удмуртской Республики ____</t>
  </si>
  <si>
    <t>Улучшение качества жизни инвалидов по слуху, возможность посещать культурно - массовые мероприятия.</t>
  </si>
  <si>
    <t>Улучшение  качества жизни инвалидов по слуху, возможность своевременно получать новостную информацию на республиканском телеканале «Моя Удмуртия».</t>
  </si>
  <si>
    <t>иные межбюджетные трансферты из федерального бюджета</t>
  </si>
  <si>
    <t>Увеличение доли участвующих в профориентационных мероприятиях обучающихся инвалидов молодого возраста (в т.ч. учащихся старших классов общеобразовательных школ)</t>
  </si>
  <si>
    <t>Увеличение доли участвующих в профориентационных мероприятиях обучающихся инвалидов молодого возраста (в т.ч. учащихся  старших классов общеобразовательных школ)</t>
  </si>
  <si>
    <t xml:space="preserve">Цель: создание правовых, экономических и институциональных условий, способствующих интеграции инвалидов в общество и повышению уровня их жизни           Задачи:
1) обеспечение равного доступа инвалидов к приоритетным объектам и услугам в приоритетных сферах жизнедеятельности инвалидов и других маломобильных групп населения (далее - МГН);
2) обеспечение равного доступа инвалидов к реабилитационным и абилитационным услугам, включая обеспечение равного доступа  к профессиональному образованию;
3) обеспечение равного доступа инвалидов молодого возраста к профессиональному развитию и трудоустройству
</t>
  </si>
  <si>
    <t xml:space="preserve"> доля лиц с ограниченными возможностями здоровья и инвалидов от 6 до 18 лет, систематически занимающихся физической культурой и спортом, в общей численности этой категории населения</t>
  </si>
  <si>
    <t>Обеспечение полноценной интеграции детей-инвалидов с обществом, доступ к специальному учебному, реабилитационному, компьютерному оборудованию.</t>
  </si>
  <si>
    <t>Доступ участникам Великой Отечественной войны, инвалидам I, II группы, детям-инвалидам, гражданам, проходящим амбулаторное лечение гемодиализом, пользоваться услугами службы «Социального такси» и беспрепятственно добираться к объектам социальной инфраструктуры.</t>
  </si>
  <si>
    <t>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 (далее - МГН)</t>
  </si>
  <si>
    <t>Организация и проведение общественно-просветительских кампаний по распространению идей, принципов и средств формирования доступной среды для инвалидов и других МГН</t>
  </si>
  <si>
    <t xml:space="preserve">Цель:
Повышение уровня доступности приоритетных объектов и услуг в приоритетных сферах жизнедеятельности инвалидов и других МГН  в Удмуртской Республике                                               Задачи: 1) формирование условий для беспрепятственного доступа инвалидов и других МГН к приоритетным объектам и услугам в сфере социальной защиты, занятости, здравоохранения, культуры, образования, транспортной и пешеходной инфраструктур, информации и связи, физической культуры и спорта;
2) оценка состояния доступности приоритетных объектов и услуг и формирование нормативно-правовой и методической базы по обеспечению доступности приоритетных объектов и услуг в приоритетных сферах жизнедеятельности инвалидов и других МГН;
3) повышение доступности и качества реабилитационных услуг (развитие системы реабилитации и социальной интеграции инвалидов);
4) информационно-методическое и кадровое обеспечение системы реабилитации и социальной интеграции инвалидов
5) формирование условий для просвещенности граждан в вопросах инвалидности и устранения барьеров во взаимоотношениях с другими людьми
</t>
  </si>
  <si>
    <t>доля выпускников из числа инвалидов молодого возраста, продолживших дальнейшее обучение после получения среднего профессионального образования</t>
  </si>
  <si>
    <t>Увеличение доли трудоустроенных инвалидов после получения профессионального образования</t>
  </si>
  <si>
    <t>Содействие организациям, осуществляющим образовательную деятельность, при реализации в указанных организациях практик взаимодействия выпускников из числа инвалидов молодого возраста с работодателями в целях совмещения в учебном процессе теоретической и практической подготовки</t>
  </si>
  <si>
    <t>Привлечение социально ориентированных некоммерческих организаций, являющихся исполнителями общественно полезных услуг, к реализации мероприятий, направленных на сопровождение инвалидов молодого возраста при трудоустройстве</t>
  </si>
  <si>
    <t>Информационное обеспечение в сфере реализации мероприятий, направленных на сопровождение инвалидов молодого возраста при трудоустройстве</t>
  </si>
  <si>
    <t>Ведение персонифицированного учета выпускников из числа инвалидов молодого возраста с учетом их переезда в другой субъект Российской Федерации, передаче этих данных в соответствующие субъекты Российской Федерации (в частности, в случае, если иногородний выпускник, из числа инвалидов молодого возраста по окончании обучения в организации, осуществляющей образовательную деятельность, планирует переезд в целях трудоустройства и дальнейшее проживание в другом субъекте Российской Федерации)</t>
  </si>
  <si>
    <t>Оказание работодателям методической помощи по организации сопровождения инвалидов молодого возраста при трудоустройстве</t>
  </si>
  <si>
    <t>Организация взаимодействия инвалидов молодого возраста с представителем работодателя как на собеседовании, так и при трудоустройстве (при необходимости предоставление услуг по переводу русского жестового языка)</t>
  </si>
  <si>
    <t xml:space="preserve">Формирование и помощь в освоении доступного маршрута передвижения до места работы и на территории работодателя </t>
  </si>
  <si>
    <t xml:space="preserve">Министерство социальной политики и труда Удмуртской Республики </t>
  </si>
  <si>
    <t xml:space="preserve">подпрограмма «Сопровождение инвалидов молодого возраста при получении ими профессионального образования и содействие в последующем трудоустройстве»
</t>
  </si>
  <si>
    <t xml:space="preserve">Увеличение количества специалистов республиканских министерств и ведомств, их подведомственных учреждений, специалистов муниципальных образований, прошедших обучение по вопросам паспортизации объектов социальной и транспортной инфраструктуры, их адаптации с учетом доступа для инвалидов, оказания ситуационной помощи, реабилитации. Распространение эффективного опыта работы по оказанию помощи родителям, воспитывающим детей-инвалидов и детей с ОВЗ. Выявление и решение проблем межведомственного взаимодействия. </t>
  </si>
  <si>
    <t>Разработка и внедрение технологий комплексной диагностики ребёнка в раннем возрасте,формирование модели выявление  детей, нуждающихся в ранней помощи и сопровождении</t>
  </si>
  <si>
    <t>Бюджеты муниципальных образований Удмуртской Республики</t>
  </si>
  <si>
    <t>Внебюджетные источники</t>
  </si>
  <si>
    <t>Разработка и реализация программ перехода детей в систему дошкольного образования</t>
  </si>
  <si>
    <t>Создание и организация деятельности региональных ресурсных и стажировочных центров по оказанию услуг ранней помощи</t>
  </si>
  <si>
    <t>Укомплектование организаций, осуществляющих социальную и профессиональную реабилитацию инвалидов, в том числе детей-инвалидов, специалистами соответствующего профиля</t>
  </si>
  <si>
    <t>Увеличение числа организаций, осуществляющих социальную и профессиональную реабилитацию инвалидов, в том числе детей-инвалидов, укомплектованных специалистами соответствующего профиля</t>
  </si>
  <si>
    <t>Повышение профессиональных компетенций руководителей и специалистов служб ранней помощи организаций разной ведомственной принадлежности, а также  региональных ресурсных центров эффективным технологиям и методикам оказания комплексной помощи детям и семьям, воспитывающим детей в возрасте до 3-х лет с отклонениями в развитии и здоровье, на базе профессиональных стажировочных площадок Фонда по направлению «Ранняя помощь»</t>
  </si>
  <si>
    <t>Обучение инвалидов, в том числе детей-инвалидов, и членов их семей навыкам ухода, подбору и пользованию техническими средствами реабилитации, реабилитационным навыкам, в том числе обучение слепоглухих инвалидов пользованию вспомогательными средствами для коммуникации и информации</t>
  </si>
  <si>
    <t>Организация работы центров проката технических средств реабилитации для инвалидов, в том числе для детей-инвалидов</t>
  </si>
  <si>
    <t xml:space="preserve">Привлечение к оказанию услуг ранней помощи детям от 0 до 3 лет и семьям, их воспитывающим, некомерческих организаций, представителей социально ответственного бизнеса, родительских сообществ, благотворительных фондов, оказание им всесторонней поддержки </t>
  </si>
  <si>
    <t>Разработка и реализация программ обучения родителей (законных представителей), воспитывающих детей-инвалидов и детей с ОВЗ, способам ухода и методам абилитации и реабилитации на дому, в том числе посредством обеспечения доступа к интернет-ресурсам для осуществления дистанционного обучения и сопровождения родителей</t>
  </si>
  <si>
    <t>Внедрение примерной модели межведомственного взаимодействия организаций, обеспечивающей реализацию ранней помощи, преемственность в работе с инвалидами, в том числе с детьми-инвалидами, и их сопровождение</t>
  </si>
  <si>
    <t>Мониторинг действующих нормативных правовых актов в сфере организации системы ранней помощи, подготовка предложений по разработке дополнительных документов.</t>
  </si>
  <si>
    <t>Подготовка и принятие нормативных правовых актов для обеспечения развития системы ранней помощи в Удмуртской Республики</t>
  </si>
  <si>
    <t>Внедрение и апробация современных методических, методологических, технических документов (типовая программа ранней помощи, методики,  примерные стандарты, регламенты, положения), направленных на формирование службы ранней помощи</t>
  </si>
  <si>
    <t>Подготовка и принятие нормативных правовых актов по организации системы комплексной реабилитации и абилитации инвалидов, в том числе детей-инвалидов в Удмуртской Республики</t>
  </si>
  <si>
    <t>Мониторинг действующих нормативных правовых актов по организации системы комплексной реабилитации и абилитации инвалидов, в том числе детей-инвалидов, подготовка предложений по разработке дополнительных документов.</t>
  </si>
  <si>
    <t>Внедрение и апробация современных методических, методологических, технических документов (типовая программа комплексной реабилитации, методики,  примерные стандарты, регламенты, положения), направленных на развитие системы комплексной реабилитации и абилитации инвалидов, в том числе детей-инвалидов</t>
  </si>
  <si>
    <t>Организация сопровождаемого содействия занятости инвалидов с учетом стойких нарушений функций организма и ограничений жизнедеятельности, включая сопровождение инвалида молодого возраста при трудоустройстве</t>
  </si>
  <si>
    <t>Организация профориентации лиц с ограниченными возможностями здоровья и детей-инвалидов в дошкольных образовательных организациях и общеобразовательных организациях с учетом возможности использования дистанционных образовательных технологий</t>
  </si>
  <si>
    <t xml:space="preserve">Организация и проведение мониторинга развития системы ранней помощи </t>
  </si>
  <si>
    <t>Организация своевременного выявления детей с ограниченными возможностями здоровья, детей с риском развития инвалидности</t>
  </si>
  <si>
    <t>Организация основных направлений реабилитации и абилитации инвалидов, в том числе детей-инвалидов, включая социокультурную реабилитацию и абилитацию</t>
  </si>
  <si>
    <t>Формирование предложений по нормативам обеспеченности организациями, осуществляющими реабилитационные и абилитационные мероприятия инвалидам и детям-инвалидам, в Удмуртской Республике</t>
  </si>
  <si>
    <t>Формирование и ведение реестра реабилитационных, абилитационных мероприятий, услуг сопровождения, а также организаций, предоставляющих указанные услуги инвалидам, в том числе детям-инвалидам</t>
  </si>
  <si>
    <t xml:space="preserve">   </t>
  </si>
  <si>
    <t>В том числе</t>
  </si>
  <si>
    <t>в том числе:</t>
  </si>
  <si>
    <t>внебюджетные источники</t>
  </si>
  <si>
    <t>Приложение 8</t>
  </si>
  <si>
    <t>Объем ресурсного обеспечения региональной программы</t>
  </si>
  <si>
    <t>федеральный бюджет (прогноз) мероприятия в сфере деятельности Минтруда России</t>
  </si>
  <si>
    <t>федеральный бюджет (прогноз) мероприятия в сфере деятельности Минздрава России</t>
  </si>
  <si>
    <t>федеральный бюджет (прогноз)мероприятия в сфере деятельности Минобрнауки России</t>
  </si>
  <si>
    <t>федеральный бюджет (прогноз) мероприятия в сфере деятельности Минспорта России</t>
  </si>
  <si>
    <t>федеральный бюджет (прогноз) мероприятия в сфере деятельности Минкультуры России</t>
  </si>
  <si>
    <t>федеральный бюджет (прогноз) мероприятия в сфере деятельности Минкомсвязи России</t>
  </si>
  <si>
    <t xml:space="preserve">      </t>
  </si>
  <si>
    <t xml:space="preserve">   тыс. руб.</t>
  </si>
  <si>
    <t>Определение потребности инвалидов, в том числе детей-инвалидов, в реабилитационных и абилитационных услугах, услугах ранней помощи в субъекте Российской Федерации</t>
  </si>
  <si>
    <t>Организация взаимодействия федеральных государственных учреждений медико-социальной экспертизы, органов службы занятости и органов социальной защиты населения по трудоустройству инвалидов</t>
  </si>
  <si>
    <t>Формирование условий для развития системы комплексной реабилитации и абилитации инвалидов, в том числе детей-инвалидов, а также ранней помощи в субъекте Российской Федерации</t>
  </si>
  <si>
    <t>12</t>
  </si>
  <si>
    <t>13</t>
  </si>
  <si>
    <t>14</t>
  </si>
  <si>
    <t>15</t>
  </si>
  <si>
    <t>16</t>
  </si>
  <si>
    <t>17</t>
  </si>
  <si>
    <t>Проведение конкурса профессионального мастерства «Абилимпикс» в Удмуртской Республике, а также участие Удмуртской Республики в Национальном конкурсе профессионального мастерства «Абилимпикс»</t>
  </si>
  <si>
    <t xml:space="preserve"> Направление на профессиональное обучение и дополнительное профессиональное образование безработных инвалидов молодого возраста</t>
  </si>
  <si>
    <t xml:space="preserve"> Организация профессиональной ориентации инвалидов молодого возраста</t>
  </si>
  <si>
    <t xml:space="preserve"> 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МГН</t>
  </si>
  <si>
    <t>доля инвалидов, в отношении которых осуществлялись мероприятия по реабилитации и (или) абилитации, в общей численности инвалидов в Удмуртской Республике, имеющих такие рекомендации в индивидуальной программе реабилитации или абилитации (взрослые)</t>
  </si>
  <si>
    <t>доля инвалидов, в отношении которых осуществлялись мероприятия по реабилитации и (или) абилитации, в общей численности инвалидов в Удмуртской Республике, имеющих такие рекомендации в индивидуальной программе реабилитации или абилитации (дети)</t>
  </si>
  <si>
    <t>ед.</t>
  </si>
  <si>
    <t>доля реабилитационных организаций, подлежащих включению в систему комплексной реабилитации и абилитации инвалидов, в том числе детей-инвалидов, в Удмуртской Республике, в общем числе реабилитационных организаций, расположенных на территории Удмуртской Республики</t>
  </si>
  <si>
    <t>доля занятых инвалидов трудоспособного возраста в общей численности инвалидов трудоспособного возраста в Удмуртской Республике</t>
  </si>
  <si>
    <t>доля семей в Удмуртской Республике, включенных в программы ранней помощи, удовлетворенных качеством услуг ранней помощи</t>
  </si>
  <si>
    <t>доля специалистов в Удмуртской Республике, обеспечивающих оказание реабилитационных и (или) абилитационных мероприятий инвалидам, в том числе детям-инвалидам, прошедших обучение по программам повышения квалификации и профессиональной переподготовки специалистов, в том числе по применению методик по реабилитации и абилитации инвалидов, в общей численности таких специалистов в Удмуртской Республике</t>
  </si>
  <si>
    <t xml:space="preserve">Министерство социальной политики и труда Удмуртской Республики , Министрество образования и науки Удмуртской Республики , Министрество здравоохранения Удмуртской Республики , организации социального обслуживания, образовательные организации и организации здравоохранения </t>
  </si>
  <si>
    <t>Создание условий для качественной и своевременной реабилитации и абилитации инвалидов, в том числе детей-инвалидов, включая социокультурную реабилитацию и абилитацию</t>
  </si>
  <si>
    <t>Реестр реабилитационных, абилитационных мероприятий, услуг сопровождения, а также организаций, предоставляющих указанные услуги инвалидам, в том числе детям-инвалидам</t>
  </si>
  <si>
    <t>Создание условий для раннего выявления детей с ограниченными возможностями здоровья на основе применения своевременных и эффективных методов диагностики. Обучение специалистов новым технологиям комплексной диагностики детей в раннем возрасте будет осуществляться в рамках семинара (4 академических часа), проводимого ФГБОУ ВО ИГМА Минздрава России в 2019 году. Новыми технологиями овладеют не менее 25 специалистов. Специалистам будет предоставлен методический инструментарий</t>
  </si>
  <si>
    <t>Определение потребности в услугах ранней помощи в Удмуртской Республике. Получение данных, характеризующих состояние системы ранней помощи. Проведение оценки эффективности принимаемых мер по формированию системы ранней помощи   Оценка деятельности действующих служб раненый помощи, выявление проблем и путей их решения</t>
  </si>
  <si>
    <t>Увеличение числа трудоустроенных инвалидов, в том числе инвалидов  молодого возраста</t>
  </si>
  <si>
    <t xml:space="preserve">Увеличение числа трудоустроенных инвалидов </t>
  </si>
  <si>
    <t xml:space="preserve">Министерство социальной политики и труда Удмуртской Республики, Министерство здравоохранения Удмуртской Республики, Министерство образования и науки Удмуртской Республики  </t>
  </si>
  <si>
    <t>Формирование единых подходов для организаций различной ведомственной принадлежности. Создание условий для обеспечения преемственности оказываемой помощи</t>
  </si>
  <si>
    <t>Министерство социальной политики и труда Удмуртской Республики, организации социального обслуживания</t>
  </si>
  <si>
    <t xml:space="preserve">Повышение уровня и качества жизни инвалидов, семей, воспитывающих детей-инвалидов, улучшение социального самочувствия и психологического климата в этих семьях, их социализации и интеграции в обществе </t>
  </si>
  <si>
    <t>Распространение среди населения информационных материалов по возможно более раннему выявлению признаков нарушения функций организма, в том числе психического, с целью оказания ранней помощи и профилактики инвалидности</t>
  </si>
  <si>
    <t>Министерство социальной политики и труда Удмуртской Республики   во взаимодействии с исполнительными органами государственной власти Удмуртской Республики и социально ориентированными некоммерческими организациями</t>
  </si>
  <si>
    <t>Министерство социальной политики и труда Удмуртской Республики, Министерство образования и науки Удмуртской Республики, Министерство здравоохранения Удмуртской Республики, во взаимодействии с  социально ориентированными некоммерческими организациями</t>
  </si>
  <si>
    <t>Увеличение числа организаций, осуществляющих социальную и профессиональную реабилитацию инвалидов, в том числе детей-инвалидов, оснащенных специализированным оборудованием</t>
  </si>
  <si>
    <t xml:space="preserve">Повышение профессиональной компетентности и уровня квалификации специалистов, оказывающих услуги ранней помощи. </t>
  </si>
  <si>
    <t>Министерство социальной политики и труда Удмуртской Республики   совместно с Федеральным государственным бюджетным образовательным учреждением высшего образования «Удмуртский государственный университет»</t>
  </si>
  <si>
    <t>Создание условий для овладения ребенком необходимыми навыками и умениями, подготовка его к дошкольной образовательной организации. Обучение специалистов методикам разработки и реализации программ перехода детей в систему дошкольного образования будет осуществляться в рамках семинара (4 академических часа), проводимого ФГБОУ ВО «Удмуртский государственный университет» в 2019 году. Новыми технологиями овладеют не менее 50 специалистов. Специалистам будет предоставлен методический инструментарий</t>
  </si>
  <si>
    <t>Организация комплексного сопровождения детей с тяжелыми множественными нарушениями развития, в том числе с расстройствами аутистического спектра</t>
  </si>
  <si>
    <t xml:space="preserve">Разработка и реализация комплексных программ сопровождения детей с тяжелыми множественными нарушениями развития. Разработка и реализация комплексных программ сопровождения ребенка и его семьи, разработка и реализация индивидуальной программы реабилитации и абилитации ребенка, имеющего проблемы в развитии. </t>
  </si>
  <si>
    <t>Министерство социальной политики и труда во взаимодействии с Негосударственным образовательным учреждением дополнительного профессионального образования Санкт-Петербургский Институт раннего вмешательства</t>
  </si>
  <si>
    <t>Повышение профессиональной компетентности специалистов, оказывающих услуги ранней помощи, помощь семьям, воспитывающим детей-инвалидов и детей с ОВЗ посредством обучения специалистов с привлечением Автономной некоммерческой организации дополнительного профессионального образования «Санкт-Петербургский институт раннего вмешательства» в Удмуртскую Республику. Повышение качества предоставляемых услуг ранней помощи и помощи семьям, воспитывающим детей-инвалидов и детей с ОВЗ, в том числе раннего возраста</t>
  </si>
  <si>
    <t>Создание региональных ресурсных (АУ СО УР «Республиканский реабилитационный центр для детей и подростков с ограниченными возможностями» и ГКУ СО УР «Глазовский реабилитационный центр для детей и подростков с ограниченными возможностями») и стажировочных центров (КУ СО УР «Социально-реабилитационный центр для несовершеннолетних города Воткинска» и КУ СО УР «Социально-реабилитационный центр для несовершеннолетних города Можги» ) по оказанию услуг ранней помощи. Обеспечение служб ранней помощи современными методиками, организация своевременного повышения квалификации специалистов служб ранней помощи. Координация деятельности служб ранней помощи на территории Удмуртской Республики. Формирование банков эффективных технологий и методик работы по организации ранней помощи, профилактике инвалидности, абилитации и реабилитации, интеграции детей-инвалидов, детей с ограниченными возможностями здоровья и семей, воспитывающих таких детей, в общество; повышение профессиональных компетенций специалистов организаций разной ведомственной принадлежности, работающих с этими категориями детей и семей; методическое обеспечение специалистов посредством подготовки, издания и распространения тематических методических материалов; подготовка информационных материалов для родителей детей-инвалидов и детей с ОВЗ. 
Ежегодно методическую поддержку получат не менее 75 специалистов</t>
  </si>
  <si>
    <t xml:space="preserve">Министерство образования и науки Удмуртской Республики  </t>
  </si>
  <si>
    <t xml:space="preserve">Доступ инвалидов к  организациям профессионального образования. </t>
  </si>
  <si>
    <t>Формирование и поддержание в актуальном состоянии нормативной правовой и методической базы по организации системы комплексной реабилитации и абилитации инвалидов, в том числе детей-инвалидов, а также ранней помощи в Удмуртской Республике</t>
  </si>
  <si>
    <t xml:space="preserve">Сопровождение инвалидов молодого возраста при получении ими профессионального образования и содействие в последующем трудоустройстве
</t>
  </si>
  <si>
    <t>3930200000</t>
  </si>
  <si>
    <t>3930300000</t>
  </si>
  <si>
    <t>3930000000</t>
  </si>
  <si>
    <t>3920300000</t>
  </si>
  <si>
    <t>3920400000</t>
  </si>
  <si>
    <t>Министерство труда и миграционной политики Удмуртской Республики
Министерство социальной политики и труда Удмуртской Республики</t>
  </si>
  <si>
    <t xml:space="preserve">Министерство образования и науки Удмуртской Республики </t>
  </si>
  <si>
    <t>Внебюджетные источники (справочно)</t>
  </si>
  <si>
    <t>Бюджеты муниципальных образований Удмуртской Республики (справочно)</t>
  </si>
  <si>
    <t>бюджет Удмуртской Республики</t>
  </si>
  <si>
    <t>2023 год</t>
  </si>
  <si>
    <t>2024 год</t>
  </si>
  <si>
    <t>2025 год</t>
  </si>
  <si>
    <t>2018-2025 годы</t>
  </si>
  <si>
    <t xml:space="preserve">Прогнозная (справочная) оценка ресурсного обеспечения реализации подпрограммы  «Формирование системы комплексной реабилитации и абилитации инвалидов, в том числе детей-инвалидов в Удмуртской Республике»  за счет всех источников финансирования </t>
  </si>
  <si>
    <t>Адаптация объектов профессионального образования   с целью обеспечения доступности для инвалидов и другие мероприятия в рамках реализации государственной программы Российской Федерации «Доступная среда»</t>
  </si>
  <si>
    <t>доля занятых инвалидов молодого возраста, нашедших работу по прошествии 6 месяцев и более после получения образования по образовательным программам среднего профессионального образования, в общей численности выпускников 2016 года и последующих годов (до отчетного включительно), являющихся инвалидами молодого возраста</t>
  </si>
  <si>
    <t>доля занятых инвалидов молодого возраста, нашедших работу в течение 3 месяцев после поле прохождения профессионального обучения, в общей численности выпускников текущего года, являющихся инвалидами молодого возраста</t>
  </si>
  <si>
    <t>доля занятых инвалидов молодого возраста, нашедших работу в течение 6 месяцев после прохождения профессионального обучения, в общей численности выпускников текущего года, являющихся инвалидами молодого возраста</t>
  </si>
  <si>
    <t>доля занятых инвалидов молодого возраста, нашедших работу по прошествии 6 месяцев и более после прохождения профессионального обучения, в общей численности выпускников 2016 года и последующих годов (до отчетного включительно), являющихся инвалидами молодого возраста</t>
  </si>
  <si>
    <t>доля занятых инвалидов молодого возраста, нашедших работу в течение 3 месяцев после освоения дополнительных профессиональных программ (программ повышения квалификации и программ профессиональной переподготовки), в общей численности выпускников текущего года, являющихся инвалидами молодого возраста</t>
  </si>
  <si>
    <t>доля занятых инвалидов молодого возраста, нашедших работу в течение 6 месяцев после освоения дополнительных профессиональных программ (программ повышения квалификации и программ профессиональной переподготовки), в общей численности выпускников текущего года, являющихся инвалидами молодого возраста</t>
  </si>
  <si>
    <t>доля выпускников из числа инвалидов молодого возраста, продолживших дальнейшее обучение после получения среднего профессионального образования, в общей численности выпускников 2016 года и последующих годов (до отчетного периода включительно), являющихся инвалидами молодого возраста</t>
  </si>
  <si>
    <t>доля работающих в отчетном периоде инвалидов в общей численности инвалидов трудоспособного возраста в Удмуртской Республике</t>
  </si>
  <si>
    <t> доля инвалидов в возрасте 15-18 лет, принятых на обучение по образовательным программам высшего образования, в общей численности инвалидов данного возраста</t>
  </si>
  <si>
    <t>доля инвалидов в возрасте 19-24 лет, принятых на обучение по образовательным программам высшего образования, в общей численности инвалидов данного возраста</t>
  </si>
  <si>
    <t>доля инвалидов в возрасте 25-44 лет, принятых на обучение  по образовательным программам высшего образования, в общей численности инвалидов данного возраста</t>
  </si>
  <si>
    <t xml:space="preserve">доля инвалидов в возрасте 15-18 лет, принятых на обучение  по образовательным программам среднего профессионального образования, в общей численности инвалидов данного возраста </t>
  </si>
  <si>
    <t> доля инвалидов в возрасте 19-24 лет, принятых на обучение  по образовательным программам среднего профессионального образования, в общей численности инвалидов данного возраста</t>
  </si>
  <si>
    <t>доля инвалидов в возрасте 25-44 лет, принятых на обучение  по образовательным программам среднего профессионального образования, в общей численности инвалидов данного возраста</t>
  </si>
  <si>
    <t>доля инвалидов в возрасте 15-18 лет, обучающихся по образовательным программам высшего образования, в общей численности инвалидов данного возраста</t>
  </si>
  <si>
    <t>доля инвалидов в возрасте 19-24 лет, обучающихся по образовательным программам высшего образования, в общей численности инвалидов данного возраста</t>
  </si>
  <si>
    <t>доля инвалидов в возрасте 25-44 лет, обучающихся по образовательным программам высшего образования, в общей численности инвалидов данного возраста</t>
  </si>
  <si>
    <t>доля инвалидов в возрасте 15-18 лет, обучающихся по образовательным программам среднего профессионального образования, в общей численности инвалидов данного возраста</t>
  </si>
  <si>
    <t>доля инвалидов в возрасте 19-24 лет, обучающихся по образовательным программам среднего профессионального образования, в общей численности инвалидов данного возраста</t>
  </si>
  <si>
    <t>доля инвалидов в возрасте 25-44 лет, обучающихся по образовательным программам среднего профессионального образования, в общей численности инвалидов данного возраста</t>
  </si>
  <si>
    <t>доля инвалидов в возрасте 19-24 лет, успешно завершивших обучение по образовательным программам высшего образования, от числа принятых на обучение в соответствующем году</t>
  </si>
  <si>
    <t>доля инвалидов в возрасте 25-44 лет, успешно завершивших обучение по образовательным программам высшего образования, от числа принятых на обучение в соответствующем году</t>
  </si>
  <si>
    <t>доля инвалидов в возрасте 15-18 лет, успешно завершивших обучение по образовательным программам среднего профессионального образования, от числа принятых на обучение в соответствующем году</t>
  </si>
  <si>
    <t>доля инвалидов в возрасте 19-24 лет, успешно завершивших обучение по образовательным программам среднего профессионального образования, от числа принятых на обучение в соответствующем году</t>
  </si>
  <si>
    <t>доля инвалидов в возрасте 25-44 лет, успешно завершивших обучение по образовательным программам среднего профессионального образования, от числа принятых на обучение в соответствующем году</t>
  </si>
  <si>
    <t>доля занятых инвалидов молодого возраста, нашедших работу в течение 3 месяцев после получения высшего образования</t>
  </si>
  <si>
    <t>доля занятых инвалидов молодого возраста, нашедших работу в течение 3 месяцев после получения среднего профессионального образования</t>
  </si>
  <si>
    <t>доля занятых инвалидов молодого возраста, нашедших работу в течение 6 месяцев после получения высшего образования</t>
  </si>
  <si>
    <t>доля занятых инвалидов молодого возраста, нашедших работу в течение 6 месяцев после получения среднего профессионального образования</t>
  </si>
  <si>
    <t>доля занятых инвалидов молодого возраста, нашедших работу по прошествии 6 месяцев и более после получения высшего образования</t>
  </si>
  <si>
    <t>доля занятых инвалидов молодого возраста, нашедших работу по прошествии 6 месяцев  и более после получения среднего профессионального образования</t>
  </si>
  <si>
    <t>доля выпускников из числа инвалидов молодого возраста, продолживших дальнейшее обучение после получения высшего образования</t>
  </si>
  <si>
    <t xml:space="preserve">количество выпускников, прошедших обучение  по образовательным программам высшего образования  </t>
  </si>
  <si>
    <t xml:space="preserve">количество выпускников, прошедших обучение  по образовательным программам среднего профессионального образования </t>
  </si>
  <si>
    <t xml:space="preserve">Министерство социальной политики и труда Удмуртской Республики, Министерство здравоохранения Удмуртской Республики </t>
  </si>
  <si>
    <t>Повышение профессиональной компетентности и уровня квалификации специалистов, занимающихся вопросами социальной, профессиональной и медицинской реабилитации и абилитации инвалидов, в том числе детей-инвалидов, сопровождаемого проживания, ранней помощи</t>
  </si>
  <si>
    <t>N п/п</t>
  </si>
  <si>
    <t>Наименование направления реабилитации или абилитации</t>
  </si>
  <si>
    <t>Объем финансирования мероприятий региональной программы, тыс. руб.</t>
  </si>
  <si>
    <t>из консолидированного бюджета субъекта Российской Федерации</t>
  </si>
  <si>
    <t>из федерального бюджета</t>
  </si>
  <si>
    <t>всего, тыс. руб. (графа 3 + графа 4)</t>
  </si>
  <si>
    <t>Объем финасирования мероприятий региональной программы, процент (построчное значение графы 5/итого графы 5х100</t>
  </si>
  <si>
    <t>Объем финасового обеспечения на реализацию мероприятий в других программах субъекта Российской Федерации, тыс. руб</t>
  </si>
  <si>
    <t>Объем финансового обеспечения по всем направлениям реабилитации и абилитации с учетом всех источников, тыс. руб. (графа 5 + графа 7)</t>
  </si>
  <si>
    <t>Объем финансового обеспечения по направлению реабилитации или абилитации с учетом всех источников, процент (построчное значение графы 8 / итого графы 8 х 100)</t>
  </si>
  <si>
    <t>Примечание</t>
  </si>
  <si>
    <t>Здравоохранение</t>
  </si>
  <si>
    <t>Социальная защита</t>
  </si>
  <si>
    <t>Занятость</t>
  </si>
  <si>
    <t>Культура</t>
  </si>
  <si>
    <t>Физическая культура и спорт</t>
  </si>
  <si>
    <t>Образование</t>
  </si>
  <si>
    <t>Информатизация и связь</t>
  </si>
  <si>
    <t>39.0.3         39.2.15         39.3.3 – 39.3.40</t>
  </si>
  <si>
    <t>39.0.3         39.2.15       39.2.16        39.3.3 – 39.3.13</t>
  </si>
  <si>
    <t>Оснащение организаций, осуществляющих социальную и профессиональную реабилитацию инвалидов, в том числе детей-инвалидов, реабилитационным оборудованием</t>
  </si>
  <si>
    <t>Оснащение организаций оборудованием для социально-средовой и социально-бытовой реабилитации в условиях сопровождаемого проживания</t>
  </si>
  <si>
    <t>Оснащение реабилитационным оборудованием организаций и реабилитационных центров (отделений) для оказания услуг ранней помощи детям-инвалидам и детям с ограниченными возможностями здоровья в возрасте от 0 до 3 лет</t>
  </si>
  <si>
    <t xml:space="preserve">Министерство социальной политики и труда Удмуртской Республики;  Министерство образования и науки Удмуртской Республики;  Министерство здравоохранения Удмуртской Республики;  Министерство по физической культуре, спорту и молодежной политике Удмуртской Республики;    Министерство культуры  Удмуртской Республики;   Министерство труда и миграционной политики Удмуртской Республики </t>
  </si>
  <si>
    <t>Министерство культуры Удмуртской Республики</t>
  </si>
  <si>
    <t>Министерство социальной  политики и труда Удмуртской Республики; Министерство по физической культуре, спорту и молодежной политике Удмуртской Республики; Министерство культуры  Удмуртской Республики</t>
  </si>
  <si>
    <t xml:space="preserve">Министерство социальной политики и труда Удмуртской Республики , Министерство образования и науки Удмуртской Республики , Министерство здравоохранения Удмуртской Республики , организации социального обслуживания, образовательные организации и организации здравоохранения </t>
  </si>
  <si>
    <t>Министерство социальной политики и труда Удмуртской Республики , Министерство образования и науки Удмуртской Республики , Министерство здравоохранения Удмуртской Республики</t>
  </si>
  <si>
    <t xml:space="preserve">Министерство культуры Удмуртской Республики </t>
  </si>
  <si>
    <t>к постановлению Правительства</t>
  </si>
  <si>
    <t>Удмуртской Республики</t>
  </si>
  <si>
    <t>от «__»________ 2019 года № __</t>
  </si>
  <si>
    <t>«Приложение 1</t>
  </si>
  <si>
    <t>Сопровождение инвалидов молодого возраста при получении ими профессионального образования и содействие в последующем трудоустройстве</t>
  </si>
  <si>
    <t>Мониторинг деятельности организаций, осуществляющих образовательную деятельность по образовательным программам среднего профессионального образования, по вопросам приема, обучения обучающихся с инвалидностью и обеспечения специальных условий для получения ими профессионального образования, а также их последующего трудоустройства</t>
  </si>
  <si>
    <t>Проведение семинаров (вебинаров) для педагогических работников и родителей по вопросам профессиональной ориентации и получения профессионального образования инвалидами молодого возраста</t>
  </si>
  <si>
    <t>Информирование об условиях получения профессионального образования, профессиях, специальностях, реализуемых в организациях, осуществляющих образовательную деятельность по образовательным программам среднего профессионального  образования</t>
  </si>
  <si>
    <t xml:space="preserve"> о составе и значениях целевых показателей (индикаторов) государственной программы </t>
  </si>
  <si>
    <t>СВЕДЕНИЯ</t>
  </si>
  <si>
    <t>» .</t>
  </si>
  <si>
    <t>«Приложение 2</t>
  </si>
  <si>
    <t>».</t>
  </si>
  <si>
    <t>_____________</t>
  </si>
  <si>
    <t>Осуществление взаимодействия с инвалидами молодого возраста с целью уточнения их пожеланий и готовности к реализации мер по трудоустройству, выявления барьеров, препятствующих трудоустройству, информирования их об имеющихся возможностях содействия занятости, содействия в составлении резюме и направлении его работодателям</t>
  </si>
  <si>
    <t>Организация работы «горячей линии» в Удмуртской Республике по вопросам приема в организации, осуществляющие образовательную деятельность по образовательным программам среднего профессионального образования, инвалидов молодого возраста</t>
  </si>
  <si>
    <t>применения мер государственного регулирования в сфере реализации государственной программы</t>
  </si>
  <si>
    <t>ОЦЕНКА</t>
  </si>
  <si>
    <t>«Приложение 4</t>
  </si>
  <si>
    <t xml:space="preserve"> сводных показателей государственных заданий на оказание государственных услуг, выполнение государственных работ государственными учреждениями Удмуртской Республики по государственной программе
</t>
  </si>
  <si>
    <t>ПРОГНОЗ</t>
  </si>
  <si>
    <t xml:space="preserve"> «Приложение 5</t>
  </si>
  <si>
    <t xml:space="preserve"> «Приложение 6</t>
  </si>
  <si>
    <t>___________</t>
  </si>
  <si>
    <t>«Приложение 7</t>
  </si>
  <si>
    <t>ресурсного обеспечения государственной программы Удмуртской Республики «Доступная среда»</t>
  </si>
  <si>
    <t>ОБЪЕМ</t>
  </si>
  <si>
    <t>____________</t>
  </si>
  <si>
    <t>________________</t>
  </si>
  <si>
    <t>Государственная программа «Доступная среда»</t>
  </si>
  <si>
    <t>доля инвалидов, принятых на обучение по образовательным программам среднего профессионального образования (по отношению к значению показателя предыдущего года)</t>
  </si>
  <si>
    <t>Оснащение специализированным оборудованием, в том числе реабилитационным, организаций социального обслуживания (индивидуальные подъемники для инвалидов, трансформируемые столы с изменением угла наклона, приобретение специализированного автотранспорта для инвалидов  и иное реабилитационное оборудование)</t>
  </si>
  <si>
    <t>39.1.14</t>
  </si>
  <si>
    <t xml:space="preserve">39.0.1 
39.1.1 - 39.1.11, 39.1.13
</t>
  </si>
  <si>
    <t>доля студентов из числа инвалидов, обучавшихся по образовательным программам среднего профессионального образования, выбывших по причине академической неуспеваемости</t>
  </si>
  <si>
    <t>Приложение 9</t>
  </si>
  <si>
    <t>доля занятых инвалидов молодого возраста, нашедших работу в течение 6 месяцев после получения образования по образовательным программам среднего профессионального образования, в общей численности выпускников текущего года, являющихся инвалидами молодого возраста</t>
  </si>
  <si>
    <t>доля занятых инвалидов молодого возраста, нашедших работу в течение 3 месяцев после получения образования по образовательным программам среднего профессионального образования, в общей численности выпускников текущего года, являющихся инвалидами молодого возраста</t>
  </si>
  <si>
    <r>
      <t xml:space="preserve">Цель:                                                    Формирование условий для повышения уровня занятости инвалидов молодого возраста в Удмуртской Республике, а также уровня их профессионального развития
Задачи:
1) организация сопровождения при трудоустройстве инвалидов молодого возраста;
2) создание специальных условий для получения профессионального образования инвалидами молодого возраста;
3) </t>
    </r>
    <r>
      <rPr>
        <b/>
        <sz val="12"/>
        <rFont val="Times New Roman"/>
        <family val="1"/>
        <charset val="204"/>
      </rPr>
      <t>у</t>
    </r>
    <r>
      <rPr>
        <sz val="12"/>
        <rFont val="Times New Roman"/>
        <family val="1"/>
        <charset val="204"/>
      </rPr>
      <t xml:space="preserve">величение числа инвалидов молодого возраста, принятых на обучение по образовательным программам высшего и среднего профессионального образования; 
4) увеличение числа инвалидов молодого возраста, принявших участие в профориентационном консультировании
</t>
    </r>
  </si>
  <si>
    <t xml:space="preserve">Организация обучения (профессиональная переподготовка, повышение квалификации) специалистов, предоставляющих услуги реабилитации и абилитации инвалидов, в том числе детей-инвалидов, сопровождаемого проживания, ранней помощи </t>
  </si>
  <si>
    <t>«Приложение 10</t>
  </si>
  <si>
    <t>ИТОГО</t>
  </si>
  <si>
    <t>«Приложение 11</t>
  </si>
  <si>
    <t>Министерство социальной политики и труда Удмуртской Республики, Министерство образования и науки Удмуртской Республики, Министерство здравоохранения Удмуртской Республики во взаимодействии с  социально ориентированными некоммерческими организациями</t>
  </si>
  <si>
    <t>Министерство социальной политики и труда Удмуртской Республики, организации социального обслуживания населения</t>
  </si>
  <si>
    <t>бюджеты муниципальных образований в Удмуртской Республике</t>
  </si>
  <si>
    <t>бюджеты муниципальных образований в субъекте Российской Федерации</t>
  </si>
  <si>
    <t>подпрограмма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  (далее - МГН)»</t>
  </si>
  <si>
    <t>Министерство социальной политики и труда Удмуртской Республики, Министерство образования и науки Удмуртской Республики, Министерство здравоохранения Удмуртской Республики, во взаимодействии с ФКУ «ГБ МСЭ по Удмуртской Республике» Минтруда России и  социально ориентированными некоммерческими организациями</t>
  </si>
  <si>
    <t xml:space="preserve">Адаптация объектов профессионального образования с целью обеспечения доступности для инвалидов и другие мероприятия в рамках реализации государственной программы Российской Федерации «Доступная среда» </t>
  </si>
  <si>
    <t>2017-2025 годы</t>
  </si>
  <si>
    <t>2017 – 2025 годы</t>
  </si>
  <si>
    <t>2017 – 2020 годы</t>
  </si>
  <si>
    <t>2017 год
2018-2025 годы</t>
  </si>
  <si>
    <t>Разработка проектно-сметной документации, проведение государственной экспертизы проекта, проведение паспортизации, технический надзор за выполнением строительно-монтажных работ по адаптации учреждений с целью доступности для инвалидов (строительство лифтовой шахты и монтаж лифтового оборудования, установка пандусов, поручней, подъемных устройств, средств ориентации для инвалидов по зрению и слуху, оснащение индукционными петлями, расширение дверных проемов, переоборудование санитарно-бытовых помещений и другие)</t>
  </si>
  <si>
    <t>Создание в дошкольных образовательных, общеобразовательных организациях, организациях дополнительного образования детей универсальной безбарьерной среды, позволяющей обеспечить полноценную интеграцию детей-инвалидов с обществом (установка пандусов, поручней, подъемных устройств, средств ориентации для инвалидов по зрению и слуху, оснащение индукционными петлями, расширение дверных проемов, переоборудование санитарно-бытовых помещений и другие), приобретение специального учебного, реабилитационного, компьютерного оборудования, автотранспорта для перевозки детей-инвалидов</t>
  </si>
  <si>
    <t xml:space="preserve">Адаптация медицинских организаций с целью доступности для инвалидов (установка пандусов,
 поручней, подъемных устройств, средств ориентации для инвалидов по зрению и слуху, оснащение индукционными петлями, расширение дверных проемов, переоборудование санитарно-бытовых помещений и другие)
</t>
  </si>
  <si>
    <t>Адаптация спортивных объектов с учетом доступности для инвалидов (установка пандусов, поручней, подъемных устройств, средств ориентации для инвалидов по зрению и слуху, оснащение индукционными петлями, расширение дверных проемов, приобретение специализированного спортивного инвентаря, тренажеров, переоборудование санитарно-бытовых помещений и другие)</t>
  </si>
  <si>
    <t>Адаптация учреждений культуры с целью доступности для инвалидов (установка пандусов, поручней, подъемных устройств, средств ориентации для инвалидов по зрению и слуху, оснащение индукционными петлями, расширение дверных проемов, переоборудование санитарно-бытовых помещений и другие)</t>
  </si>
  <si>
    <t>Адаптация организаций социального обслуживания с целью доступности для инвалидов (установка пандусов, поручней, подъемных устройств, средств ориентации для инвалидов по зрению и слуху, оснащение индукционными петлями, расширение дверных проемов, переоборудование санитарно-бытовых помещений,  оснащение специализи-рованным оборудованием, в том числе реабилитационным и другие)</t>
  </si>
  <si>
    <t>Адаптация учреждений службы занятости с целью доступности для инвалидов (установка пандусов, поручней, подъемных устройств, средств ориентации для инвалидов по зрению и слуху, оснащение индукционными петлями, расширение дверных проемов, переоборудование санитарно-бытовых помещений и другие)</t>
  </si>
  <si>
    <t>Оборудование пешеходных и транспортных коммуникаций, остановок общественного пассажирского транспорта (установка пандусов, средств ориентации, тактильной плитки, занижение бордюрного камня, приобретение специализированного электротранспорта, приобретение подвижного состава (автобусов) общего пользования и другие)</t>
  </si>
  <si>
    <t>Обеспечение учреждений культуры (музеи, театры, выставочные залы, библиотеки) оборудованием, адаптированным для инвалидов (описание объектов искусства шрифтом Брайля, голосовое дублирование, индивидуальные беспроводные устройства, компьютеры с экранным доступом для инвалидов по зрению и другие)</t>
  </si>
  <si>
    <t>Проведение совместных мероприятий инвалидов и их сверстников, не имеющих группу инвалидности (фестивали, конкурсы, выставки, спартакиады, молодежные лагеря, форумы и другие)</t>
  </si>
  <si>
    <t>Создание в дошкольных образовательных, общеобразовательных организациях, организациях дополнительного образования детей  универсальной безбарьерной среды, позволяющей обеспечить полноценную интеграцию детей-инвалидов с обществом (установка пандусов, поручней, подъемных устройств, средств ориентации для инвалидов по зрению и слуху, оснащение индукционными петлями, расширение дверных проемов, переоборудование санитарно-бытовых помещений и другие), приобретение специального учебного, реабилитационного, компьютерного оборудования, автотранспорта для перевозки детей-инвалидов</t>
  </si>
  <si>
    <t>Адаптация медицинских организаций с целью доступности для инвалидов (установка пандусов, поручней, подъемных устройств, средств ориентации для инвалидов по зрению и слуху, оснащение индукционными петлями, расширение дверных проемов, переоборудование санитарно-бытовых помещений и другие)</t>
  </si>
  <si>
    <t>Адаптация организаций социального обслуживания с целью доступности для инвалидов (установка пандусов, поручней, подъемных устройств, средств ориентации для инвалидов по зрению и слуху, оснащение индукционными петлями, расширение дверных проемов, переоборудование санитарно-бытовых помещений,  оснащение специализи-рованным оборудованием, в том числе реабилитационным и другие)</t>
  </si>
  <si>
    <t>Оснащение специальным оборудованием зданий государственных органов для удобства и комфорта мест оказания государственных услуг инвалидам (установка подъемного устройства в здании Министерства социальной политики и труда  УР по адресу: г. Ижевск ул. Ломоносова, д. 5, в том числе проведение государственной экспертизы проекта, авторский и технический надзор за выполнением строительно-монтажных работ, приобретение и монтаж лифтового оборудования, подъемных устройств, информационных табло с тактильной пространственно-рельефной информацией,  переоборудование санитарно-бытовых помещений  и другие) и автотранспортом</t>
  </si>
  <si>
    <t>Оснащение специализированным оборудованием, в том числе реабилитационным, организаций социального обслуживания (индивидуальные подъемники для инвалидов, трансформируемые столы с изменением угла наклона, приобретение специализированного автотранспорта для инвалидов  и другие)</t>
  </si>
  <si>
    <t>3920500000</t>
  </si>
  <si>
    <t>Организация межведомственной системы профилактики детской инвалидности путем развития службы раннего вмешательства</t>
  </si>
  <si>
    <t>Оснащение реабилитационным оборудованием реабилитационных центров (отделений) для детей и подростков с ограниченными возможностями</t>
  </si>
  <si>
    <t>Увеличение количества реабилитационных услуг</t>
  </si>
  <si>
    <t>2018 - 2019 годы</t>
  </si>
  <si>
    <t>Оснащение медицинским, реабилитационным оборудованием медицинских организаций</t>
  </si>
  <si>
    <t>Увеличение количества медицинских, реабилитационных услуг</t>
  </si>
  <si>
    <t>2018-2019 годы</t>
  </si>
  <si>
    <t>Министерство социальной политики и труда Удмуртской Республики; Министерство здравоохранения Удмуртской Республики</t>
  </si>
  <si>
    <t>Увеличение количества специалистов, прошедших обучение по вопросам внедрения современных реабилитационных методик в системе ранней помощи</t>
  </si>
  <si>
    <t>2017-2019 годы</t>
  </si>
  <si>
    <t>Организация межведомственного взаимодействия и профессионального сотрудничества в ранней коррекционной и реабилитационной работе с детьми-инвалидами, детьми с ограниченными возможностями здоровья и семьями их воспитывающим</t>
  </si>
  <si>
    <t>Улучшение качества жизни семей, воспитывающих детей с ограниченными возможностями здоровья</t>
  </si>
  <si>
    <t>2020-2025 годы</t>
  </si>
  <si>
    <t>Организация межведомственного взаимодействия и профессионального сотрудничества в ранней коррекционной и реабилитационной работе с детьми-инвалидами, детьми с ограниченными возможностями здоровья и семьями, их воспитывающими</t>
  </si>
  <si>
    <t>3920600000</t>
  </si>
  <si>
    <t>3930100000</t>
  </si>
  <si>
    <t>2018 – 2025 годы</t>
  </si>
  <si>
    <t xml:space="preserve">Формирование условий для повышения уровня профессионального развития и занятости, включая сопровождаемое содействие занятости, инвалидов, в том числе детей-инвалидов, в Удмуртской Республике </t>
  </si>
  <si>
    <t>Организация сопровождения при трудоустройстве инвалидов молодого возраста с учетом рекомендуемых в индивидуальной программе реабилитации или абилитации инвалида видов трудовой деятельности</t>
  </si>
  <si>
    <t xml:space="preserve">2017 год
</t>
  </si>
  <si>
    <t xml:space="preserve">
2018-2025 годы</t>
  </si>
  <si>
    <t>Осуществление взаимодействия с инвалидами молодого возраста в целях выявления барьеров, препятствующих трудоустройству, и оказания им содействия в поиске работодателя</t>
  </si>
  <si>
    <t xml:space="preserve">Увеличение числа трудоустроенных инвалидов молодого возраста </t>
  </si>
  <si>
    <t xml:space="preserve">
Министерство социальной политики и труда Удмуртской Республики</t>
  </si>
  <si>
    <t xml:space="preserve">Организация обучения (профессиональная переподготовка, повышение квалификации) специалистов, предоставляющих услуги реабилитации и абилитации инвалидов, в том числе детей-инвалидов, сопровождаемого проживания, ранней помощи  </t>
  </si>
  <si>
    <t>Информирование инвалидов молодого возраста об имеющихся вакансиях</t>
  </si>
  <si>
    <t>Информирование  инвалидов молодого возраста о состоянии рынка труда, вакансиях, услугах службы занятости населения как на базе организаций, осуществляющих образовательную деятельность, так и с использованием возможностей информационно-телекоммуникационной сети "Интернет", средств массовой информации, многофункциональных центров предоставления государственных и муниципальных услуг в форме профессиональной ориентации, организации стажировок и др.</t>
  </si>
  <si>
    <t>Оказание помощи инвалидам молодого возраста, в том числе их сопровождение, при проведении собеседований с работодателями, а также при поступлении на работу</t>
  </si>
  <si>
    <t>Организация взаимодействия инвалидов молодого возраста с представителем работодателя как на собеседовании, так и при трудоустройстве (при необходимости  - организация предоставления услуг по переводу русского жестового языка (сурдопереводу, тифлосурдопереводу)</t>
  </si>
  <si>
    <t xml:space="preserve">Министерство труда и миграционной политики Удмуртской Республики
</t>
  </si>
  <si>
    <t>Формирование доступного маршрута передвижения до места работы и оказание помощи в его освоении</t>
  </si>
  <si>
    <t xml:space="preserve">
Министерство социальной политики и труда Удмуртской Республики</t>
  </si>
  <si>
    <t>Анализ вакансий, в том числе на квотируемые рабочие места (информация о которых доступна в информационно-аналитической системе «Работа в России»), проведение необходимых консультаций с работодателями для подбора возможных предложений по трудоустройству инвалида молодого возраста</t>
  </si>
  <si>
    <t>Ведение персонифицированного учета выпускников из числа инвалидов молодого возраста с учетом их переезда в другой субъект Российской Федерации, передача этих данных в соответствующие субъекты Российской Федерации (в частности, в случае, если иногородний выпускник, из числа инвалидов молодого возраста по окончании обучения в организации, осуществляющей образовательную деятельность, планирует переезд в целях трудоустройства и дальнейшее проживание в другом субъекте Российской Федерации)</t>
  </si>
  <si>
    <t>Реализация  с учетом рекомендуемых в индивидуальной программе реабилитации или адилитации инвалида показанных (противопоказанных) видов трудовой деятельности мероприятий, направленных на сопровождение инвалидов молодого возраста при трудоустройстве, включая возможность получения помощи наставника, определяемого работодателем. Помощь наставником может осуществляться по следующим направлениям: содействие в осовоении трудовых обязанностей; внесение работодателю предложений по вопросам, связанным с сосзданием инвалиду молодого возраста условий доступности рабочего места и его дополнительного оснащения с учетом имеющихся у инвалида молодого возраста ограничений жизнедеятельности</t>
  </si>
  <si>
    <t>Проведение конкурса профессионального мастерства для людей с инвалидностью «Абилимпикс» в Удмуртской Республике, а также участие Удмуртской Республики в Национальном чемпионате профессионального мастерства среди инвалидов и лиц с ограниченными возможностями здоровья «Абилимпикс»</t>
  </si>
  <si>
    <t>Министерство образования и науки Удмуртской Республики, Министерство социальной политики и труда Удмуртской Республики</t>
  </si>
  <si>
    <t>Содействие организациям, осуществляющим образовательную деятельность по образовательным программам среднего профессионального и высшего образования, при реализации практик взаимодействия выпускников из числа инвалидов молодого возраста с работодателями в целях совмещения в учебном процессе теоретической и практической подготовки</t>
  </si>
  <si>
    <t>2019-2025 годы</t>
  </si>
  <si>
    <t xml:space="preserve">
2018-2025 годы</t>
  </si>
  <si>
    <t>Формирование условий для повышения уровня профессионального развития и занятости, включая сопровождаемое содействие занятости, инвалидов, в том числе детей-инвалидов, в Удмуртской Республике</t>
  </si>
  <si>
    <t>Подпрограмма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 (далее - МГН)</t>
  </si>
  <si>
    <t xml:space="preserve"> Повышение уровня доступности приоритетных объектов и услуг в приоритетных сферах жизнедеятельности инвалидов и других МГН</t>
  </si>
  <si>
    <t xml:space="preserve"> Определение потребности в реабилитационных и абилитационных услугах, услугах ранней помощи в субъекте Российской Федерации</t>
  </si>
  <si>
    <t>доля доступных для инвалидов и других МГН приоритетных объектов социальной, транспортной, инженерной инфраструктуры в общем количестве приоритетных объектов</t>
  </si>
  <si>
    <t>В Удмуртской Республике организовано межведомственное информационное взаимодействие между государственными органами исполнительной власти Удмуртской Республики  при исполнении возложенных на них индивидуальной программой реабилитации или абилитации инвалида, индивидуальной программой реабилитации или абилитации ребенка-инвалида мероприятий. Взаимодействие осуществляется с помощью системы межведомственного информационного взаимодействия при реализации индивидуальной программы реабилитации или абилитации инвалида, индивидуальной программы реабилитации или абилитации ребенка-инвалида в Удмуртской Республике. Данная система является программным продуктом, разработанным  подведомственным учреждением Министерства информатизации и связи Удмуртской Республики. Таким образом, данное направление реабилитации финансируется в основном в форме государственныого задания, доводимого до подведомственных учреждений. Выделить в полной мере объем финансирования, направляемого таким образом на реализацию мероприятий по реабилитации и абилитации инвалидов, не представляется возможным.
Постановление Правительства Удмуртской Республики от 1 июля 2013 года № 268 "Об утверждении государственной программы Удмуртской Республики Развитие информационного общества в Удмуртской Республике", предусматривает мероприятия по повышению грамотности населения Удмуртской Республики, в том числе инвалидов, в области информационных и телекоммуникационных технологий, обучение использованию современных информационных и телекоммуникационных технологий.
.</t>
  </si>
  <si>
    <t>Постановление Правительства Удмуртской Республики от 4 сентября 2013 № 391 "Об утверждении государственной программы Удмуртской Республики "Развитие образования". В рамках программы осуществляется реализация мероприятий, направленных на обеспечение доступности профессионального образования инвалидов и лиц с ограниченными возможностями здоровья. Удмуртская Республика была отобрана в качестве субъекта, которому в 2020 году будет предоставлена субсидия, для создания в регионе базовых профессиональных образовательных организаций, обеспечивающих поддержку региональных систем инклюзивного профессионального образования инвалидов. Данное направление реабилитации финансируется в основном в форме государственныого задания, доводимого до подведомственных учреждений. Выделить в полной мере объем финансирования, направляемого таким образом на реализацию мероприятий по реабилитации и абилитации инвалидов, не представляется возможным.</t>
  </si>
  <si>
    <t xml:space="preserve">Постановление Правительства Удмуртской Республики от 28 сентября 2015 года № 460 "О государственной программе Удмуртской Республики "Развитие физической культуры, спорта и молодежной политики". В рамках данной программы осуществляется реализация комплекса мер по развитию физической культуры и спорта инвалидов, лиц с ограниченными возможностями здоровья, адаптивной физической культуры и адаптивного спорта в Удмуртской Республике, направленного на создание и развитие сети спортивных адаптивных школ, детско-юношеских спортивных адаптивных специализированных школ. Кроме того данное направление реабилитации финансируется в том числе в форме государственныого задания, доводимого до подведомтсвенных учреждений. Выделить в полной мере объем финансирования, направляемого таким образом на реализацию мероприятий по реабилитации и абилитации инвалидов, не представляется возможным.
</t>
  </si>
  <si>
    <t xml:space="preserve">Постановление Правительства Удмуртской Республики от 06 июля 2015 года № 326 "Об утверждении государственной программы Удмуртской Республики "Культура Удмуртии". Данное направление реабилитации финансируется в основном в форме государственныого задания, доводимого до подведомственных учреждений. Выделить в полной мере объем финансирования, направляемого таким образом на реализацию мероприятий по реабилитации и абилитации инвалидов, не представляется возможным. Также в Удмуртской Республике с 2019 года постановлением Правительства Удмуртской Республики от 22 мая 2019 года № 2015 предусмотрено проведение Ежегодных Республиканских творческих состязаний (игр) для инвалидов на регулярной основе. Целью мероприятия является выявление и поддержка одаренной творческой молодежи и других лиц, имеющих инвалидность, развитие инклюзивного общества. Кроме того проведение мероприятия на регулярной основе позволит обеспечить формирование новых подходов к социокультурной реабилитации людей с инвалидностью, к их профессиональному обучению творческим профессиям.
</t>
  </si>
  <si>
    <t xml:space="preserve">Постановление Правительства Удмуртской Республики от 31 марта 2015 года № 126 "Об утверждении государственной программы Удмуртской Республики "Развитие социально-трудовых отношений и содействие занятости населения Удмуртской Республики" Указанная программа содержит в себе Подпрограмму "Дополнительные мероприятия в сфере занятости населения, направленные на снижение напряженности на рынке труда Удмуртской Республики" и мероприятия, направленные на обеспечение занятости инвалидов; в программу включены мероприятия по предоставлению государственной услуги  "Организация сопровождаемого содействия занятости инвалидов, " стимулированию создания работодателями рабочих мест (в том числе специальных) для трудоустройства инвалидов. Кроме того данное направление реабилитации финансируется в том числе в форме государственныого задания, доводимого до подведомтсвенных учреждений. Выделить в полной мере объем финансирования, направляемого таким образом на реализацию мероприятий по реабилитации и абилитации инвалидов, не представляется возможным.
 </t>
  </si>
  <si>
    <t xml:space="preserve">Постановление Правительства Удмуртской Республики от 30 января 2017 года № 9 "Об утверждении государственной программы Удмуртской Республики "Доступная среда"
</t>
  </si>
  <si>
    <t xml:space="preserve">Постановление Правительства Удмуртской Республики от 7 октября 2013 года № 457 "Об утверждении государственной программы Удмуртской Республики "Развитие здравоохранения" содержит подпрограмму "Развитие медицинской реабилитации и санаторно-курортного лечения населения, в том числе детей", которая направлена на обеспечение охвата медицинской реабилитацией инвалидов, детей-инвалидов. Выделить в полной мере объем финансирования, направляемого таким образом на реализацию мероприятий по реабилитации и абилитации инвалидов, не представляется возможным.
</t>
  </si>
  <si>
    <t>2021 год:</t>
  </si>
  <si>
    <t>Федеральный бюджет (субсидия Минпросвещения РФ)</t>
  </si>
  <si>
    <t>Бюджет Удмуртской Республики (на софинансирование мероприятий, на которые предоставляется субсидия Минпросвещения РФ)</t>
  </si>
  <si>
    <t>Создание в субъекте Российской Федерации базовой профессиональной образовательной организации, обеспечивающей поддержку функционирования региональной системы инклюзивного среднего профессионального образования инвалидов и лиц с ограниченными возможностями здоровья в субъекте Российской Федерации</t>
  </si>
  <si>
    <t>подпрограмма «Совершенствование системы комплексной реабилитации и абилитации инвалидов»</t>
  </si>
  <si>
    <t xml:space="preserve">Подпрограмма  «Совершенствование системы комплексной реабилитации и абилитации инвалидов»  </t>
  </si>
  <si>
    <t>подпрограмма  «Совершенствование системы комплексной реабилитации и абилитации инвалидов»</t>
  </si>
  <si>
    <t xml:space="preserve">Совершенствование системы комплексной реабилитации и абилитации инвалидов </t>
  </si>
  <si>
    <t xml:space="preserve">подпрограмма  «Совершенствование системы комплексной реабилитации и абилитации инвалидов» </t>
  </si>
  <si>
    <t>о планируемом распределении бюджетных ассигнований региональной программы подпрограммы   «Совершенствование системы комплексной реабилитации и абилитации инвалидов»  за счет всех источников финансирования</t>
  </si>
  <si>
    <t>оценка</t>
  </si>
  <si>
    <t>Оснащение специальным оборудованием зданий государственных органов для удобства и комфорта мест оказания государственных услуг инвалидам (установка подъемного устройства в здании Министерства социальной политики и труда Удмуртской Республики по адресу: г. Ижевск ул. Ломоносова, д. 5, в том числе проведение государственной экспертизы проекта, авторский и технический надзор за выполнением строительно-монтажных работ, приобретение и монтаж лифтового оборудования, подъемных устройств, информационных табло с тактильной пространственно-рельефной информацией,  переоборудование санитарно-бытовых помещений  и другие) и автотранспортом</t>
  </si>
  <si>
    <t>2017-2020 годы</t>
  </si>
  <si>
    <t>39.0.2-39.0.3</t>
  </si>
  <si>
    <t>2017 - 2019 годы</t>
  </si>
  <si>
    <t>2020-2025 гг.</t>
  </si>
  <si>
    <t>2017-2025</t>
  </si>
  <si>
    <t xml:space="preserve">доля инвалидов, трудоустроенных органами службы занятости населения Удмуртской Республики, в общем числе инвалидов, обратившихся в органы службы занятости населения Удмуртской Республики </t>
  </si>
  <si>
    <t>39.0.4, 39.3.1-39.3.2           39.3.13</t>
  </si>
  <si>
    <t xml:space="preserve">Министерство образования и науки Удмуртской Республики                                                                                                                                                                           </t>
  </si>
  <si>
    <t>Разработка адаптированных образовательных программ для обучения инвалидов молодого возраста в условиях инклюзивного профессионального образования</t>
  </si>
  <si>
    <t>Цель: 
Повышение уровня обеспеченности инвалидов, в том числе детей-инвалидов, реабилитационными и абилитационными услугами, ранней помощью, а также уровня профессионального развития и занятости, включая содействие занятости, инвалидов, в том числе детей-инвалидов, в Удмуртской Республике.                                                                                           
Задачи:
1) определение потребности инвалидов, в том числе детей-инвалидов, в реабилитационных и абилитационных услугах, услугах ранней помощи, получении услуг в рамках сопровождаемого проживания в Удмуртской Республике;</t>
  </si>
  <si>
    <t>доля детей целевой группы, получивших услуги ранней помощи, в общем числе детей в Удмуртской Республике, нуждающихся в получении таких услуг</t>
  </si>
  <si>
    <t>Число инвалидов, получающих услуги в рамках сопровождаемого проживания</t>
  </si>
  <si>
    <t xml:space="preserve">2) формирование условий для повышения уровня профессионального развития и занятости, включая сопровождаемое содействие занятости, инвалидов, в том числе детей-инвалидов, в Удмуртской Республике; </t>
  </si>
  <si>
    <t>3) формирование и поддержание в актуальном состоянии нормативной правовой и методической базы по организации системы комплексной реабилитации и абилитации инвалидов, в том числе детей-инвалидов, а также ранней помощи, сопровождаемого проживания инвалидов в Удмуртской Республике;</t>
  </si>
  <si>
    <t>4) формирование условий для развития системы комплексной реабилитации и абилитации инвалидов, в том числе детей-инвалидов, а также ранней помощи, сопровождаемого проживания инвалидов в Удмуртской Республике</t>
  </si>
  <si>
    <t xml:space="preserve">39.2.6-39.2.7, 39.3.20-39.3.25    </t>
  </si>
  <si>
    <t>Определение потребности инвалидов, в том числе детей-инвалидов, в реабилитационных и абилитационных услугах, услугах ранней помощи, получении услуг в рамках сопровождаемого спроживания в субъекте Российской Федерации</t>
  </si>
  <si>
    <t>39.2.1 - 39.2.4</t>
  </si>
  <si>
    <t>Организация основных направлений реабилитации и абилитации инвалидов</t>
  </si>
  <si>
    <t>Организация социальной занятости инвалидов трудоспособного возраста</t>
  </si>
  <si>
    <t>Обеспечение самостоятельной и комфортной жизни в привычной обстановке для граждан, страдающих психическими расстройствами.</t>
  </si>
  <si>
    <t>Организация своевременного выявления детей с ограниченными возможностями здоровья, детей с риском развития инвалидности, организация оказания ранней помощи и сопровождения</t>
  </si>
  <si>
    <t xml:space="preserve">Создание условий для своевременного выявления детей с ограниченными возможностями здоровья и детей с риском развития инвалидности, оказания им необходимой помощи </t>
  </si>
  <si>
    <t>Мониторинг нуждаемости граждан, страдающих психическими расстройствами, в сопровождаемом проживании</t>
  </si>
  <si>
    <t>Определение нуждаемости граждан, страдающих психическими расстройствами, в сопровождаемом проживании</t>
  </si>
  <si>
    <t>Организация сопровождаемого проживания инвалидов,  включая организацию дневной занятости и трудовой деятельности, социализацию инвалидов с ментальными нарушениями и психическими расстройствами</t>
  </si>
  <si>
    <t>Создание условий для сопровождаемого проживания граждан, страдающих психическими расстройствами в стационарных организация социального обслуживания</t>
  </si>
  <si>
    <t>Внедрение модели сопровождаемого проживания в комплексных центрах социального обслуживания Удмуртской Республики</t>
  </si>
  <si>
    <t>Увеличение количества граждан, страдающих психическими расстройствами, охваченных сопровождаемым проживанием</t>
  </si>
  <si>
    <t>39.2.5-39.2.7</t>
  </si>
  <si>
    <t>Организация сопровождаемого содействия занятости инвалидов с учетом стойких нарушений функций организма и ограничений жизнедеятельности</t>
  </si>
  <si>
    <t>Формирование и поддержание в актуальном состоянии нормативной правовой и методической базы по организации системы комплексной реабилитации и абилитации инвалидов, в том числе детей-инвалидов, а также ранней помощи, сопровождаемого проживания инвалидов в Удмуртской Республике</t>
  </si>
  <si>
    <t xml:space="preserve">39.2.8 </t>
  </si>
  <si>
    <t>Мониторинг действующих нормативных правовых актов по организации системы комплексной реабилитации и абилитации инвалидов, в том числе детей-инвалидов, системы ранней помощи, сопровождаемого проживания инвалидов, подготовка предложений по разработке дополнительных документов.</t>
  </si>
  <si>
    <t xml:space="preserve">Подготовка реестра действующих нормативных правовых актов по организации системы комплексной реабилитации и абилитации инвалидов, в том числе детей-инвалидов, ранней помощи, сопровождаемого проживания в Удмуртской Республике, определение перечня необходимых к принятию ведомственных и межведомственных нормативных правовых актов </t>
  </si>
  <si>
    <t>Подготовка и принятие нормативных правовых актов по организации системы комплексной реабилитации и абилитации инвалидов, в том числе детей-инвалидов, системы ранней помощи, сопровождаемого проживания инвалидов в Удмуртской Республике</t>
  </si>
  <si>
    <t>Формирование нормативной правовой базы  по организации системы комплексной реабилитации и абилитации инвалидов, в том числе детей-инвалдиов,  ранней помощи, сопровождаемого проживания в Удмуртской Республике</t>
  </si>
  <si>
    <t>Внедрение и апробация современных методических, методологических, технических документов (типовая программа комплексной реабилитации, методики,  примерные стандарты, регламенты, положения), направленных на развитие системы комплексной реабилитации и абилитации инвалидов, в том числе детей-инвалидов, системы ранней помощи, сопровождаемого проживания инвалидов</t>
  </si>
  <si>
    <t>Формирование условий для развития системы комплексной реабилитации и абилитации инвалидов, в том числе детей-инвалидов, а также ранней помощи, сопровождаемого проживания инвалидов в субъекте Российской Федерации</t>
  </si>
  <si>
    <t>39.0.2,39.0.3, 39.2.9, 39.2.10</t>
  </si>
  <si>
    <t>Повышение уровня и качества жизни инвалидов, в том числе семей, воспитывающих детей-инвалидов, улучшение социального самочувствия и психологического климата в этих семьях, их социализации и интеграции в обществе Предоставление  услуг проката реабилитационного оборудования семьям с детьми-инвалидами раннего возраста на базе АУСО УР «Республиканский реабилитационный центр для детей и подростков с ограниченными возможностями»</t>
  </si>
  <si>
    <t>Размещение информации о деятельности служб ранней помощи и возможности получения услуг ранней помощи в средствах массовой информации, сети интернет. Разработка информационных брошюр, буклетов, стоек, размещение информации на сайтах ведомств в целях обеспечения информирования родителей о возможных проблемах в развитии детей и системе ранней помощи. Обеспечение раннего информирования родителей о возможных проблемах в развитии ребёнка и системе ранней помощи в Удмуртской Республики.</t>
  </si>
  <si>
    <t>Взаимодействие с добровольческими (волонтерскими) организациями, которые могут быть привлечены к организации предоставления реабилитационных и абилитационных услуг, услуг ранней помощи, сопровождения в субъекте Российской Федерации в рамках обеспечения мероприятий по повышению удобства и комфортности их предоставления, с целью вовлечения добровольческих (волонтерских) организаций в формирование системы комплексной реабилитации и абилитации инвалидов, в том числе детей инвалидов</t>
  </si>
  <si>
    <t xml:space="preserve">Создание условий для привлечения дополнительных ресурсов для оказания всесторонней поддержки семей целевой группы. </t>
  </si>
  <si>
    <t>Проведение мероприятий по созданию новых или адаптации имеющихся электронных сервисов для обеспечения предоставления в федеральный реестр инвалидов сведений и последующего их использования для предоставления инвалидам, в том числе детям-инвалидам, государственных и муниципальных услуг и выполнения государственных и муниципальных функций</t>
  </si>
  <si>
    <t>Оптимизация предоставления в федеральный реестр инвалидов сведений с целью последующего их использования для предоставления инвалидам, в том числе детям-инвалидам, государственных и муниципальных услуг и выполнения государственных и муниципальных функций</t>
  </si>
  <si>
    <t>Открытие и развитие деятельности служб ранней помощи на базе организаций социального обслуживания населения, образовательных организаций, организаций здравоохранения. Повышение доступности услуг ранней помощи. Профилактика инвалидности у детей раннего возраста, имеющих нарушения развития или риск их появления в более старшем возрасте. Предоставление комплексной медико-социальной и психолого-педагогической помощи семьям, воспитывающим таких детей в целях содействия их оптимальному развитию, социальной адаптации и интеграции в общество. Организация работы междисциплинарной команды специалистов по предоставлению услуг ранней помощи детям целевой группы и их родителям. Развитие межведомственного взаимодействия при оказании помощи детям, имеющим ограничения жизнедеятельности, и их родителям, обеспечение преемственности оказываемой помощи. Всего услугами служб ранней помощи будет охвачено не менее 250 детей в возрасте от рождения до 3-х лет, имеющих ограничения жизнедеятельности, 230 родителей, их воспитывающих</t>
  </si>
  <si>
    <t>Обеспечение межведомственного взаимодействия при оказании услуг ранней помощи. Повышение эффективности оказываемой ранней помощи детям в возрасте от рождения до 3-х лет, имеющих ограничения жизнедеятельности, и их родителям</t>
  </si>
  <si>
    <t>Министерство социальной политики и труда Удмуртской Республики, Министерство здравоохранения Удмуртской Республики</t>
  </si>
  <si>
    <t>Укомплектование организаций, осуществляющих социальную и профессиональную реабилитацию инвалидов, в том числе детей-инвалидов, оказывающих услуги ранней помощи и сопровождаемого проживания инвалидов специалистами соответствующего профиля</t>
  </si>
  <si>
    <t>Создание Регионального ресурсно-методического центра по комплексной реабилитации и абилитации детей-инвалидов и ранней помощи на базе АУСО УР «Республиканский реабилитационный центр для детей и подростков с ограниченными возможностями»</t>
  </si>
  <si>
    <t>Создание многопрофильного учреждения социального обслуживания, которое будет способствовать росту количества и качества предоставляемых социальных услуг, а также повышению уровня и качества жизни инвалидов, семей, воспитывающих детей-инвалидов</t>
  </si>
  <si>
    <t>от «__»________ 2020 года № __</t>
  </si>
  <si>
    <t xml:space="preserve">  </t>
  </si>
  <si>
    <t xml:space="preserve">                    Перечень  мероприятий подпрограммы "Совершенствование системы комплексной реабилитации и абилитации инвалидов"                                          </t>
  </si>
  <si>
    <t>Срок реализации мероприятия</t>
  </si>
  <si>
    <t>Исполнители мероприятия</t>
  </si>
  <si>
    <t>Ожидаемый результат реализации мероприятия</t>
  </si>
  <si>
    <t>Объем расходов на выполнение мероприятий (тыс. рублей)</t>
  </si>
  <si>
    <t>Номер целевого показателя (индикатора) подпрограммы, на достижение которого направлены мероприятия</t>
  </si>
  <si>
    <t>средства федерального бюджета</t>
  </si>
  <si>
    <t>средства бюджета субъекта Российской Федерации</t>
  </si>
  <si>
    <t>средства бюджетов муниципальных образований субъекта Российской Федерации</t>
  </si>
  <si>
    <t>средства из внебюджетных источников</t>
  </si>
  <si>
    <t>39.0.2, 39.0.3, 39.2.9, 39.2.10</t>
  </si>
  <si>
    <t xml:space="preserve">Организация работы центров проката технических средств реабилитации для инвалидов, в том числе для детей-инвалидов  </t>
  </si>
  <si>
    <t>Увеличение количества организаций, оснащенных оборудованием и мебелью для организации сопровождаемого проживания инвалидов</t>
  </si>
  <si>
    <t>Оснащение реабилитационным оборудованием организаций и реабилитационных центров (отделений) для оказания услуг ранней помощи детям-инвалидам и детям с ограниченными возможностями здоровья в возрасте от рождения до 3-х лет</t>
  </si>
  <si>
    <t xml:space="preserve">Открытие и развитие деятельности служб ранней помощи на базе организаций социального обслуживания населения, образовательных организаций, организаций здравоохранения. Повышение доступности услуг ранней помощи. Профилактика инвалидности у детей раннего возраста, имеющих нарушения развития или риск их появления в более старшем возрасте. Предоставление комплексной медико-социальной и психолого-педагогической помощи семьям, воспитывающим таких детей в целях содействия их оптимальному развитию, социальной адаптации и интеграции в общество. Организация работы междисциплинарной команды специалистов по предоставлению услуг ранней помощи детям целевой группы и их родителям. Развитие межведомственного взаимодействия при оказании помощи детям, имеющим ограничения жизнедеятельности, и их родителям, обеспечение преемственности оказываемой помощи. </t>
  </si>
  <si>
    <t>«Приложение 13</t>
  </si>
  <si>
    <t>Объем финансирования на 2019 - 2023 годы</t>
  </si>
  <si>
    <t>2.1.</t>
  </si>
  <si>
    <t>2.2.</t>
  </si>
  <si>
    <t>Ранняя помощь</t>
  </si>
  <si>
    <t>Сопровождаемое проживание</t>
  </si>
  <si>
    <t>2022 год:</t>
  </si>
  <si>
    <t>2023 год:</t>
  </si>
  <si>
    <t>Размещение информации о деятельности служб ранней помощи и возможности получения услуг ранней помощи в средствах массовой информации, сети интернет. Разработка информационных брошюр, буклетов, стоек, размещение информации на сайтах ведомств в целях обеспечения информирования родителей о возможных проблемах в развитии детей и системе ранней помощи. Обеспечение раннего информирования родителей о возможных проблемах в развитии ребёнка и системе ранней помощи в Удмуртской Республике.</t>
  </si>
  <si>
    <t>2021 – 2023 годы</t>
  </si>
</sst>
</file>

<file path=xl/styles.xml><?xml version="1.0" encoding="utf-8"?>
<styleSheet xmlns="http://schemas.openxmlformats.org/spreadsheetml/2006/main">
  <numFmts count="4">
    <numFmt numFmtId="164" formatCode="0.0"/>
    <numFmt numFmtId="165" formatCode="#,##0.0"/>
    <numFmt numFmtId="166" formatCode="#,##0.0000"/>
    <numFmt numFmtId="167" formatCode="#,##0.00000"/>
  </numFmts>
  <fonts count="66">
    <font>
      <sz val="11"/>
      <color theme="1"/>
      <name val="Calibri"/>
      <family val="2"/>
      <charset val="204"/>
      <scheme val="minor"/>
    </font>
    <font>
      <b/>
      <sz val="11"/>
      <color theme="1"/>
      <name val="Times New Roman"/>
      <family val="1"/>
      <charset val="204"/>
    </font>
    <font>
      <sz val="11"/>
      <color theme="1"/>
      <name val="Times New Roman"/>
      <family val="1"/>
      <charset val="204"/>
    </font>
    <font>
      <sz val="10"/>
      <color theme="1"/>
      <name val="Times New Roman"/>
      <family val="1"/>
      <charset val="204"/>
    </font>
    <font>
      <b/>
      <i/>
      <u/>
      <sz val="11"/>
      <color theme="1"/>
      <name val="Times New Roman"/>
      <family val="1"/>
      <charset val="204"/>
    </font>
    <font>
      <i/>
      <sz val="8"/>
      <color theme="1"/>
      <name val="Times New Roman"/>
      <family val="1"/>
      <charset val="204"/>
    </font>
    <font>
      <sz val="10"/>
      <color rgb="FF000000"/>
      <name val="Times New Roman"/>
      <family val="1"/>
      <charset val="204"/>
    </font>
    <font>
      <sz val="10"/>
      <name val="Times New Roman"/>
      <family val="1"/>
      <charset val="204"/>
    </font>
    <font>
      <sz val="11"/>
      <name val="Times New Roman"/>
      <family val="1"/>
      <charset val="204"/>
    </font>
    <font>
      <sz val="12"/>
      <name val="Times New Roman"/>
      <family val="1"/>
      <charset val="204"/>
    </font>
    <font>
      <b/>
      <sz val="10"/>
      <name val="Times New Roman"/>
      <family val="1"/>
      <charset val="204"/>
    </font>
    <font>
      <sz val="10"/>
      <name val="Arial Cyr"/>
      <charset val="204"/>
    </font>
    <font>
      <b/>
      <sz val="14"/>
      <color theme="1"/>
      <name val="Times New Roman"/>
      <family val="1"/>
      <charset val="204"/>
    </font>
    <font>
      <sz val="12"/>
      <color theme="1"/>
      <name val="Times New Roman"/>
      <family val="1"/>
      <charset val="204"/>
    </font>
    <font>
      <sz val="12"/>
      <color theme="1"/>
      <name val="Calibri"/>
      <family val="2"/>
      <charset val="204"/>
      <scheme val="minor"/>
    </font>
    <font>
      <b/>
      <sz val="11"/>
      <color rgb="FFFF0000"/>
      <name val="Calibri"/>
      <family val="2"/>
      <charset val="204"/>
      <scheme val="minor"/>
    </font>
    <font>
      <b/>
      <sz val="12"/>
      <name val="Times New Roman"/>
      <family val="1"/>
      <charset val="204"/>
    </font>
    <font>
      <sz val="12"/>
      <name val="Calibri"/>
      <family val="2"/>
      <charset val="204"/>
      <scheme val="minor"/>
    </font>
    <font>
      <b/>
      <i/>
      <u/>
      <sz val="12"/>
      <name val="Times New Roman"/>
      <family val="1"/>
      <charset val="204"/>
    </font>
    <font>
      <i/>
      <sz val="12"/>
      <name val="Times New Roman"/>
      <family val="1"/>
      <charset val="204"/>
    </font>
    <font>
      <sz val="11"/>
      <name val="Calibri"/>
      <family val="2"/>
      <charset val="204"/>
      <scheme val="minor"/>
    </font>
    <font>
      <b/>
      <sz val="11"/>
      <name val="Times New Roman"/>
      <family val="1"/>
      <charset val="204"/>
    </font>
    <font>
      <b/>
      <i/>
      <u/>
      <sz val="11"/>
      <name val="Times New Roman"/>
      <family val="1"/>
      <charset val="204"/>
    </font>
    <font>
      <i/>
      <sz val="8"/>
      <name val="Times New Roman"/>
      <family val="1"/>
      <charset val="204"/>
    </font>
    <font>
      <sz val="9"/>
      <color theme="1"/>
      <name val="Calibri"/>
      <family val="2"/>
      <charset val="204"/>
      <scheme val="minor"/>
    </font>
    <font>
      <sz val="10"/>
      <name val="Calibri"/>
      <family val="2"/>
      <charset val="204"/>
      <scheme val="minor"/>
    </font>
    <font>
      <i/>
      <sz val="10"/>
      <name val="Times New Roman"/>
      <family val="1"/>
      <charset val="204"/>
    </font>
    <font>
      <b/>
      <sz val="12"/>
      <color theme="1"/>
      <name val="Times New Roman"/>
      <family val="1"/>
      <charset val="204"/>
    </font>
    <font>
      <i/>
      <sz val="12"/>
      <color theme="1"/>
      <name val="Times New Roman"/>
      <family val="1"/>
      <charset val="204"/>
    </font>
    <font>
      <b/>
      <sz val="11"/>
      <color theme="1"/>
      <name val="Calibri"/>
      <family val="2"/>
      <charset val="204"/>
      <scheme val="minor"/>
    </font>
    <font>
      <b/>
      <sz val="10"/>
      <color theme="1"/>
      <name val="Times New Roman"/>
      <family val="1"/>
      <charset val="204"/>
    </font>
    <font>
      <b/>
      <sz val="8"/>
      <name val="Times New Roman"/>
      <family val="1"/>
      <charset val="204"/>
    </font>
    <font>
      <sz val="14"/>
      <name val="Times New Roman"/>
      <family val="1"/>
      <charset val="204"/>
    </font>
    <font>
      <b/>
      <sz val="14"/>
      <name val="Times New Roman"/>
      <family val="1"/>
      <charset val="204"/>
    </font>
    <font>
      <b/>
      <i/>
      <u/>
      <sz val="14"/>
      <name val="Times New Roman"/>
      <family val="1"/>
      <charset val="204"/>
    </font>
    <font>
      <sz val="14"/>
      <name val="Calibri"/>
      <family val="2"/>
      <charset val="204"/>
      <scheme val="minor"/>
    </font>
    <font>
      <b/>
      <i/>
      <u/>
      <sz val="14"/>
      <color theme="1"/>
      <name val="Times New Roman"/>
      <family val="1"/>
      <charset val="204"/>
    </font>
    <font>
      <sz val="14"/>
      <color theme="1"/>
      <name val="Calibri"/>
      <family val="2"/>
      <charset val="204"/>
      <scheme val="minor"/>
    </font>
    <font>
      <sz val="14"/>
      <color theme="1"/>
      <name val="Times New Roman"/>
      <family val="1"/>
      <charset val="204"/>
    </font>
    <font>
      <i/>
      <sz val="10"/>
      <color theme="1"/>
      <name val="Times New Roman"/>
      <family val="1"/>
      <charset val="204"/>
    </font>
    <font>
      <i/>
      <sz val="14"/>
      <color theme="1"/>
      <name val="Times New Roman"/>
      <family val="1"/>
      <charset val="204"/>
    </font>
    <font>
      <sz val="11"/>
      <color rgb="FF000000"/>
      <name val="Times New Roman"/>
      <family val="1"/>
      <charset val="204"/>
    </font>
    <font>
      <sz val="8"/>
      <name val="Times New Roman"/>
      <family val="1"/>
      <charset val="204"/>
    </font>
    <font>
      <sz val="9"/>
      <name val="Calibri"/>
      <family val="2"/>
      <charset val="204"/>
      <scheme val="minor"/>
    </font>
    <font>
      <b/>
      <sz val="11"/>
      <name val="Calibri"/>
      <family val="2"/>
      <charset val="204"/>
      <scheme val="minor"/>
    </font>
    <font>
      <b/>
      <sz val="9"/>
      <name val="Times New Roman"/>
      <family val="1"/>
      <charset val="204"/>
    </font>
    <font>
      <sz val="9"/>
      <name val="Times New Roman"/>
      <family val="1"/>
      <charset val="204"/>
    </font>
    <font>
      <sz val="11"/>
      <color rgb="FFFF0000"/>
      <name val="Calibri"/>
      <family val="2"/>
      <charset val="204"/>
      <scheme val="minor"/>
    </font>
    <font>
      <sz val="9"/>
      <color indexed="81"/>
      <name val="Tahoma"/>
      <family val="2"/>
      <charset val="204"/>
    </font>
    <font>
      <b/>
      <sz val="9"/>
      <color indexed="81"/>
      <name val="Tahoma"/>
      <family val="2"/>
      <charset val="204"/>
    </font>
    <font>
      <b/>
      <i/>
      <sz val="11"/>
      <color theme="1"/>
      <name val="Times New Roman"/>
      <family val="1"/>
      <charset val="204"/>
    </font>
    <font>
      <sz val="12"/>
      <color rgb="FF000000"/>
      <name val="Times New Roman"/>
      <family val="1"/>
      <charset val="204"/>
    </font>
    <font>
      <sz val="10.5"/>
      <name val="Times New Roman"/>
      <family val="1"/>
      <charset val="204"/>
    </font>
    <font>
      <b/>
      <sz val="10.5"/>
      <name val="Times New Roman"/>
      <family val="1"/>
      <charset val="204"/>
    </font>
    <font>
      <sz val="10.5"/>
      <color theme="1"/>
      <name val="Times New Roman"/>
      <family val="1"/>
      <charset val="204"/>
    </font>
    <font>
      <sz val="10.5"/>
      <name val="Calibri"/>
      <family val="2"/>
      <charset val="204"/>
      <scheme val="minor"/>
    </font>
    <font>
      <sz val="10.5"/>
      <color rgb="FF000000"/>
      <name val="Times New Roman"/>
      <family val="1"/>
      <charset val="204"/>
    </font>
    <font>
      <b/>
      <sz val="10.5"/>
      <color theme="1"/>
      <name val="Times New Roman"/>
      <family val="1"/>
      <charset val="204"/>
    </font>
    <font>
      <sz val="14"/>
      <color rgb="FFFF0000"/>
      <name val="Times New Roman"/>
      <family val="1"/>
      <charset val="204"/>
    </font>
    <font>
      <sz val="9"/>
      <color rgb="FFFF0000"/>
      <name val="Calibri"/>
      <family val="2"/>
      <charset val="204"/>
      <scheme val="minor"/>
    </font>
    <font>
      <b/>
      <sz val="9"/>
      <color theme="1"/>
      <name val="Times New Roman"/>
      <family val="1"/>
      <charset val="204"/>
    </font>
    <font>
      <sz val="9"/>
      <color theme="1"/>
      <name val="Times New Roman"/>
      <family val="1"/>
      <charset val="204"/>
    </font>
    <font>
      <sz val="10"/>
      <name val="Calibri"/>
      <family val="2"/>
      <charset val="204"/>
    </font>
    <font>
      <sz val="14"/>
      <color rgb="FF000000"/>
      <name val="Times New Roman"/>
      <family val="1"/>
      <charset val="204"/>
    </font>
    <font>
      <b/>
      <sz val="10.5"/>
      <color rgb="FF000000"/>
      <name val="Times New Roman"/>
      <family val="1"/>
      <charset val="204"/>
    </font>
    <font>
      <sz val="8"/>
      <color rgb="FF000000"/>
      <name val="Times New Roman"/>
      <family val="1"/>
      <charset val="204"/>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rgb="FFFFFF00"/>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s>
  <cellStyleXfs count="2">
    <xf numFmtId="0" fontId="0" fillId="0" borderId="0"/>
    <xf numFmtId="0" fontId="11" fillId="0" borderId="0"/>
  </cellStyleXfs>
  <cellXfs count="684">
    <xf numFmtId="0" fontId="0" fillId="0" borderId="0" xfId="0"/>
    <xf numFmtId="0" fontId="4" fillId="0" borderId="0" xfId="0" applyFont="1" applyAlignment="1"/>
    <xf numFmtId="49" fontId="0" fillId="0" borderId="0" xfId="0" applyNumberFormat="1"/>
    <xf numFmtId="0" fontId="4" fillId="0" borderId="0" xfId="0" applyFont="1" applyFill="1" applyAlignment="1"/>
    <xf numFmtId="0" fontId="7" fillId="0" borderId="1" xfId="0" applyFont="1" applyFill="1" applyBorder="1" applyAlignment="1">
      <alignment horizontal="left" vertical="top" wrapText="1"/>
    </xf>
    <xf numFmtId="49" fontId="2" fillId="0" borderId="1" xfId="0" applyNumberFormat="1" applyFont="1" applyFill="1" applyBorder="1" applyAlignment="1">
      <alignment horizontal="center" vertical="top"/>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top"/>
    </xf>
    <xf numFmtId="49" fontId="7" fillId="0" borderId="1" xfId="0" applyNumberFormat="1" applyFont="1" applyFill="1" applyBorder="1" applyAlignment="1">
      <alignment horizontal="center" vertical="top" wrapText="1"/>
    </xf>
    <xf numFmtId="49" fontId="7" fillId="0" borderId="1" xfId="0" applyNumberFormat="1" applyFont="1" applyFill="1" applyBorder="1" applyAlignment="1">
      <alignment horizontal="center" vertical="top"/>
    </xf>
    <xf numFmtId="0" fontId="10" fillId="0" borderId="1" xfId="0" applyFont="1" applyFill="1" applyBorder="1" applyAlignment="1">
      <alignment horizontal="center" vertical="top" wrapText="1"/>
    </xf>
    <xf numFmtId="0" fontId="2" fillId="0" borderId="0" xfId="0" applyFont="1" applyFill="1"/>
    <xf numFmtId="49" fontId="15" fillId="0" borderId="0" xfId="0" applyNumberFormat="1" applyFont="1"/>
    <xf numFmtId="0" fontId="15" fillId="0" borderId="0" xfId="0" applyFont="1"/>
    <xf numFmtId="0" fontId="17" fillId="0" borderId="0" xfId="0" applyFont="1"/>
    <xf numFmtId="0" fontId="19" fillId="0" borderId="0" xfId="0" applyFont="1" applyAlignment="1">
      <alignment vertical="top"/>
    </xf>
    <xf numFmtId="0" fontId="9" fillId="0" borderId="1" xfId="0" applyFont="1" applyFill="1" applyBorder="1" applyAlignment="1">
      <alignment vertical="top" wrapText="1"/>
    </xf>
    <xf numFmtId="0" fontId="9" fillId="0" borderId="1" xfId="0" applyFont="1" applyFill="1" applyBorder="1" applyAlignment="1">
      <alignment horizontal="center" vertical="top"/>
    </xf>
    <xf numFmtId="164" fontId="9" fillId="0" borderId="1" xfId="0" applyNumberFormat="1" applyFont="1" applyFill="1" applyBorder="1" applyAlignment="1">
      <alignment horizontal="center" vertical="top"/>
    </xf>
    <xf numFmtId="49" fontId="9" fillId="0" borderId="1" xfId="0" applyNumberFormat="1" applyFont="1" applyFill="1" applyBorder="1" applyAlignment="1">
      <alignment horizontal="center" vertical="top"/>
    </xf>
    <xf numFmtId="49" fontId="9" fillId="0" borderId="1" xfId="0" applyNumberFormat="1" applyFont="1" applyFill="1" applyBorder="1" applyAlignment="1">
      <alignment horizontal="center" vertical="top" wrapText="1"/>
    </xf>
    <xf numFmtId="0" fontId="20" fillId="0" borderId="0" xfId="0" applyFont="1"/>
    <xf numFmtId="0" fontId="8" fillId="0" borderId="0" xfId="0" applyFont="1" applyAlignment="1">
      <alignment horizontal="right"/>
    </xf>
    <xf numFmtId="0" fontId="21" fillId="0" borderId="0" xfId="0" applyFont="1" applyAlignment="1">
      <alignment horizontal="center"/>
    </xf>
    <xf numFmtId="0" fontId="22" fillId="0" borderId="0" xfId="0" applyFont="1" applyAlignment="1">
      <alignment horizontal="left"/>
    </xf>
    <xf numFmtId="0" fontId="23" fillId="0" borderId="0" xfId="0" applyFont="1" applyAlignment="1">
      <alignment vertical="top"/>
    </xf>
    <xf numFmtId="0" fontId="20" fillId="0" borderId="0" xfId="0" applyFont="1" applyAlignment="1">
      <alignment wrapText="1"/>
    </xf>
    <xf numFmtId="0" fontId="8" fillId="0" borderId="0" xfId="0" applyFont="1"/>
    <xf numFmtId="0" fontId="8" fillId="0" borderId="1" xfId="0" applyFont="1" applyFill="1" applyBorder="1" applyAlignment="1">
      <alignment horizontal="center" vertical="top"/>
    </xf>
    <xf numFmtId="2" fontId="24" fillId="0" borderId="0" xfId="0" applyNumberFormat="1" applyFont="1"/>
    <xf numFmtId="0" fontId="2" fillId="0" borderId="1" xfId="0" applyFont="1" applyFill="1" applyBorder="1" applyAlignment="1">
      <alignment vertical="top" wrapText="1"/>
    </xf>
    <xf numFmtId="0" fontId="25" fillId="0" borderId="0" xfId="0" applyFont="1" applyFill="1"/>
    <xf numFmtId="49" fontId="10" fillId="0" borderId="0" xfId="0" applyNumberFormat="1" applyFont="1" applyFill="1" applyAlignment="1"/>
    <xf numFmtId="0" fontId="10" fillId="0" borderId="0" xfId="0" applyFont="1" applyFill="1" applyAlignment="1"/>
    <xf numFmtId="49" fontId="10" fillId="0" borderId="0" xfId="0" applyNumberFormat="1" applyFont="1" applyFill="1" applyAlignment="1">
      <alignment horizontal="center"/>
    </xf>
    <xf numFmtId="0" fontId="10" fillId="0" borderId="0" xfId="0" applyFont="1" applyFill="1" applyAlignment="1">
      <alignment horizontal="center"/>
    </xf>
    <xf numFmtId="0" fontId="26" fillId="0" borderId="0" xfId="0" applyFont="1" applyFill="1" applyAlignment="1">
      <alignment vertical="top"/>
    </xf>
    <xf numFmtId="49" fontId="7" fillId="0" borderId="0" xfId="0" applyNumberFormat="1" applyFont="1" applyFill="1" applyAlignment="1">
      <alignment horizontal="left"/>
    </xf>
    <xf numFmtId="0" fontId="25" fillId="0" borderId="0" xfId="0" applyFont="1" applyFill="1" applyAlignment="1">
      <alignment wrapText="1"/>
    </xf>
    <xf numFmtId="49" fontId="7" fillId="0" borderId="0" xfId="0" applyNumberFormat="1" applyFont="1" applyFill="1" applyBorder="1" applyAlignment="1">
      <alignment horizontal="left" vertical="top"/>
    </xf>
    <xf numFmtId="0" fontId="13" fillId="0" borderId="0" xfId="0" applyFont="1"/>
    <xf numFmtId="0" fontId="8" fillId="0" borderId="0" xfId="0" applyFont="1" applyAlignment="1">
      <alignment horizontal="left"/>
    </xf>
    <xf numFmtId="0" fontId="8" fillId="0" borderId="0" xfId="0" applyFont="1" applyAlignment="1">
      <alignment horizontal="left" vertical="top" wrapText="1"/>
    </xf>
    <xf numFmtId="0" fontId="21" fillId="0" borderId="0" xfId="0" applyFont="1" applyAlignment="1">
      <alignment horizontal="center" wrapText="1"/>
    </xf>
    <xf numFmtId="0" fontId="20" fillId="0" borderId="0" xfId="0" applyFont="1" applyFill="1"/>
    <xf numFmtId="49" fontId="2" fillId="0" borderId="0" xfId="0" applyNumberFormat="1" applyFont="1" applyFill="1"/>
    <xf numFmtId="49" fontId="0" fillId="0" borderId="0" xfId="0" applyNumberFormat="1" applyFont="1" applyFill="1"/>
    <xf numFmtId="0" fontId="0" fillId="0" borderId="0" xfId="0" applyFont="1" applyFill="1"/>
    <xf numFmtId="49" fontId="2" fillId="0" borderId="0" xfId="0" applyNumberFormat="1" applyFont="1" applyFill="1" applyAlignment="1">
      <alignment horizontal="center"/>
    </xf>
    <xf numFmtId="49" fontId="3" fillId="0" borderId="0" xfId="0" applyNumberFormat="1" applyFont="1" applyFill="1" applyBorder="1" applyAlignment="1">
      <alignment horizontal="left" vertical="top"/>
    </xf>
    <xf numFmtId="49" fontId="7" fillId="0" borderId="0" xfId="0" applyNumberFormat="1" applyFont="1" applyFill="1"/>
    <xf numFmtId="0" fontId="7" fillId="0" borderId="0" xfId="0" applyFont="1" applyFill="1"/>
    <xf numFmtId="0" fontId="7" fillId="0" borderId="0" xfId="0" applyFont="1" applyFill="1" applyAlignment="1">
      <alignment horizontal="center"/>
    </xf>
    <xf numFmtId="49" fontId="7" fillId="0" borderId="0" xfId="0" applyNumberFormat="1" applyFont="1" applyFill="1" applyBorder="1" applyAlignment="1">
      <alignment horizontal="center" vertical="top" wrapText="1"/>
    </xf>
    <xf numFmtId="49" fontId="7" fillId="0" borderId="5" xfId="0" applyNumberFormat="1" applyFont="1" applyFill="1" applyBorder="1" applyAlignment="1">
      <alignment horizontal="center" vertical="top" wrapText="1"/>
    </xf>
    <xf numFmtId="0" fontId="9" fillId="0" borderId="0" xfId="0" applyFont="1" applyFill="1"/>
    <xf numFmtId="0" fontId="9" fillId="0" borderId="0" xfId="0" applyFont="1" applyFill="1" applyAlignment="1"/>
    <xf numFmtId="49" fontId="0" fillId="0" borderId="0" xfId="0" applyNumberFormat="1" applyFill="1"/>
    <xf numFmtId="0" fontId="0" fillId="0" borderId="0" xfId="0" applyFill="1"/>
    <xf numFmtId="0" fontId="12" fillId="0" borderId="0" xfId="0" applyFont="1" applyFill="1" applyAlignment="1">
      <alignment horizontal="center"/>
    </xf>
    <xf numFmtId="49"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49" fontId="2" fillId="0" borderId="0" xfId="0" applyNumberFormat="1" applyFont="1" applyFill="1" applyAlignment="1">
      <alignment horizontal="left"/>
    </xf>
    <xf numFmtId="49" fontId="6" fillId="0" borderId="1" xfId="0" applyNumberFormat="1" applyFont="1" applyFill="1" applyBorder="1" applyAlignment="1">
      <alignment horizontal="center" vertical="top"/>
    </xf>
    <xf numFmtId="49" fontId="6" fillId="0" borderId="1" xfId="0" applyNumberFormat="1" applyFont="1" applyFill="1" applyBorder="1" applyAlignment="1">
      <alignment horizontal="center" vertical="top" wrapText="1"/>
    </xf>
    <xf numFmtId="49" fontId="0" fillId="0" borderId="0" xfId="0" applyNumberFormat="1" applyFill="1" applyAlignment="1">
      <alignment vertical="top"/>
    </xf>
    <xf numFmtId="0" fontId="0" fillId="0" borderId="0" xfId="0" applyFill="1" applyAlignment="1">
      <alignment vertical="top" wrapText="1"/>
    </xf>
    <xf numFmtId="0" fontId="0" fillId="0" borderId="0" xfId="0" applyFill="1" applyAlignment="1">
      <alignment vertical="top"/>
    </xf>
    <xf numFmtId="0" fontId="0" fillId="0" borderId="0" xfId="0" applyFill="1" applyAlignment="1">
      <alignment wrapText="1"/>
    </xf>
    <xf numFmtId="0" fontId="0" fillId="0" borderId="0" xfId="0" applyFont="1" applyFill="1" applyAlignment="1">
      <alignment horizontal="left"/>
    </xf>
    <xf numFmtId="0" fontId="2" fillId="0" borderId="0" xfId="0" applyFont="1" applyFill="1" applyAlignment="1">
      <alignment vertical="top"/>
    </xf>
    <xf numFmtId="0" fontId="13" fillId="0" borderId="11" xfId="0" applyFont="1" applyBorder="1" applyAlignment="1">
      <alignment vertical="center" wrapText="1"/>
    </xf>
    <xf numFmtId="0" fontId="13" fillId="0" borderId="0" xfId="0" applyFont="1" applyAlignment="1">
      <alignment vertical="center" wrapText="1"/>
    </xf>
    <xf numFmtId="0" fontId="7" fillId="0" borderId="7" xfId="0" applyFont="1" applyFill="1" applyBorder="1" applyAlignment="1">
      <alignment vertical="top" wrapText="1"/>
    </xf>
    <xf numFmtId="0" fontId="2" fillId="0" borderId="0" xfId="0" applyFont="1" applyFill="1" applyAlignment="1">
      <alignment horizontal="left"/>
    </xf>
    <xf numFmtId="165" fontId="2" fillId="0" borderId="0" xfId="0" applyNumberFormat="1" applyFont="1" applyFill="1"/>
    <xf numFmtId="0" fontId="15" fillId="0" borderId="0" xfId="0" applyFont="1" applyFill="1"/>
    <xf numFmtId="0" fontId="9" fillId="0" borderId="0" xfId="0" applyFont="1" applyAlignment="1">
      <alignment horizontal="center"/>
    </xf>
    <xf numFmtId="0" fontId="9" fillId="0" borderId="0" xfId="0" applyFont="1" applyAlignment="1">
      <alignment horizontal="left"/>
    </xf>
    <xf numFmtId="0" fontId="16" fillId="0" borderId="0" xfId="0" applyFont="1" applyAlignment="1">
      <alignment horizontal="center"/>
    </xf>
    <xf numFmtId="49" fontId="17" fillId="0" borderId="0" xfId="0" applyNumberFormat="1" applyFont="1" applyAlignment="1">
      <alignment horizontal="center"/>
    </xf>
    <xf numFmtId="49" fontId="14" fillId="0" borderId="0" xfId="0" applyNumberFormat="1" applyFont="1"/>
    <xf numFmtId="0" fontId="14" fillId="0" borderId="0" xfId="0" applyFont="1"/>
    <xf numFmtId="0" fontId="27" fillId="0" borderId="0" xfId="0" applyFont="1" applyAlignment="1">
      <alignment horizontal="center"/>
    </xf>
    <xf numFmtId="0" fontId="13" fillId="0" borderId="0" xfId="0" applyFont="1" applyFill="1" applyAlignment="1">
      <alignment horizontal="center"/>
    </xf>
    <xf numFmtId="0" fontId="13" fillId="0" borderId="0" xfId="0" applyFont="1" applyFill="1"/>
    <xf numFmtId="49" fontId="13" fillId="0" borderId="1" xfId="0" applyNumberFormat="1" applyFont="1" applyBorder="1" applyAlignment="1">
      <alignment horizontal="center" vertical="top"/>
    </xf>
    <xf numFmtId="0" fontId="13" fillId="0" borderId="1" xfId="0" applyFont="1" applyBorder="1" applyAlignment="1">
      <alignment horizontal="center" vertical="top"/>
    </xf>
    <xf numFmtId="0" fontId="13" fillId="3" borderId="1" xfId="0" applyFont="1" applyFill="1" applyBorder="1" applyAlignment="1">
      <alignment horizontal="center" vertical="top" wrapText="1"/>
    </xf>
    <xf numFmtId="49" fontId="13" fillId="0" borderId="1" xfId="0" applyNumberFormat="1" applyFont="1" applyFill="1" applyBorder="1" applyAlignment="1">
      <alignment horizontal="center" vertical="top"/>
    </xf>
    <xf numFmtId="0" fontId="7" fillId="0" borderId="6" xfId="0" applyFont="1" applyFill="1" applyBorder="1" applyAlignment="1">
      <alignment vertical="top" wrapText="1"/>
    </xf>
    <xf numFmtId="49" fontId="3" fillId="0" borderId="1" xfId="0" applyNumberFormat="1" applyFont="1" applyFill="1" applyBorder="1" applyAlignment="1">
      <alignment horizontal="center" vertical="top"/>
    </xf>
    <xf numFmtId="0" fontId="2" fillId="0" borderId="0" xfId="0" applyFont="1" applyFill="1" applyAlignment="1">
      <alignment horizontal="center"/>
    </xf>
    <xf numFmtId="49" fontId="3" fillId="0" borderId="6" xfId="0" applyNumberFormat="1" applyFont="1" applyFill="1" applyBorder="1" applyAlignment="1">
      <alignment vertical="top"/>
    </xf>
    <xf numFmtId="0" fontId="10" fillId="0" borderId="1" xfId="0" applyFont="1" applyFill="1" applyBorder="1" applyAlignment="1">
      <alignment horizontal="center" vertical="top"/>
    </xf>
    <xf numFmtId="49" fontId="10" fillId="0" borderId="1" xfId="0" applyNumberFormat="1" applyFont="1" applyFill="1" applyBorder="1" applyAlignment="1">
      <alignment horizontal="center" vertical="top"/>
    </xf>
    <xf numFmtId="0" fontId="29" fillId="0" borderId="0" xfId="0" applyFont="1" applyFill="1"/>
    <xf numFmtId="49" fontId="10" fillId="0" borderId="1" xfId="0" applyNumberFormat="1" applyFont="1" applyFill="1" applyBorder="1" applyAlignment="1">
      <alignment horizontal="center" vertical="top" wrapText="1"/>
    </xf>
    <xf numFmtId="0" fontId="10" fillId="0" borderId="1" xfId="0" applyFont="1" applyFill="1" applyBorder="1" applyAlignment="1">
      <alignment horizontal="left" vertical="top" wrapText="1"/>
    </xf>
    <xf numFmtId="0" fontId="5" fillId="0" borderId="0" xfId="0" applyFont="1" applyFill="1" applyAlignment="1">
      <alignment horizontal="center" vertical="top"/>
    </xf>
    <xf numFmtId="0" fontId="33" fillId="0" borderId="0" xfId="0" applyFont="1" applyFill="1" applyAlignment="1"/>
    <xf numFmtId="49" fontId="32" fillId="0" borderId="0" xfId="0" applyNumberFormat="1" applyFont="1" applyFill="1" applyAlignment="1"/>
    <xf numFmtId="49" fontId="32" fillId="0" borderId="0" xfId="0" applyNumberFormat="1" applyFont="1" applyFill="1"/>
    <xf numFmtId="0" fontId="34" fillId="0" borderId="0" xfId="0" applyFont="1" applyFill="1" applyAlignment="1"/>
    <xf numFmtId="0" fontId="32" fillId="0" borderId="0" xfId="0" applyFont="1" applyFill="1"/>
    <xf numFmtId="49" fontId="35" fillId="0" borderId="0" xfId="0" applyNumberFormat="1" applyFont="1" applyAlignment="1">
      <alignment horizontal="center"/>
    </xf>
    <xf numFmtId="0" fontId="35" fillId="0" borderId="0" xfId="0" applyFont="1"/>
    <xf numFmtId="0" fontId="35" fillId="0" borderId="0" xfId="0" applyFont="1" applyAlignment="1">
      <alignment horizontal="center"/>
    </xf>
    <xf numFmtId="0" fontId="33" fillId="0" borderId="0" xfId="0" applyFont="1" applyAlignment="1">
      <alignment horizontal="center"/>
    </xf>
    <xf numFmtId="0" fontId="35" fillId="0" borderId="0" xfId="0" applyFont="1" applyAlignment="1"/>
    <xf numFmtId="0" fontId="34" fillId="0" borderId="0" xfId="0" applyFont="1" applyAlignment="1">
      <alignment horizontal="left"/>
    </xf>
    <xf numFmtId="49" fontId="37" fillId="0" borderId="0" xfId="0" applyNumberFormat="1" applyFont="1"/>
    <xf numFmtId="0" fontId="37" fillId="0" borderId="0" xfId="0" applyFont="1"/>
    <xf numFmtId="0" fontId="37" fillId="0" borderId="0" xfId="0" applyFont="1" applyFill="1"/>
    <xf numFmtId="0" fontId="12" fillId="0" borderId="0" xfId="0" applyFont="1" applyAlignment="1">
      <alignment horizontal="center"/>
    </xf>
    <xf numFmtId="0" fontId="38" fillId="0" borderId="0" xfId="0" applyFont="1" applyAlignment="1">
      <alignment horizontal="right"/>
    </xf>
    <xf numFmtId="49" fontId="38" fillId="0" borderId="0" xfId="0" applyNumberFormat="1" applyFont="1" applyAlignment="1"/>
    <xf numFmtId="0" fontId="38" fillId="0" borderId="0" xfId="0" applyFont="1" applyAlignment="1"/>
    <xf numFmtId="0" fontId="38" fillId="0" borderId="0" xfId="0" applyFont="1" applyFill="1" applyAlignment="1"/>
    <xf numFmtId="49" fontId="37" fillId="0" borderId="0" xfId="0" applyNumberFormat="1" applyFont="1" applyFill="1"/>
    <xf numFmtId="0" fontId="35" fillId="0" borderId="0" xfId="0" applyFont="1" applyFill="1"/>
    <xf numFmtId="49" fontId="38" fillId="0" borderId="0" xfId="0" applyNumberFormat="1" applyFont="1" applyFill="1" applyAlignment="1">
      <alignment horizontal="center"/>
    </xf>
    <xf numFmtId="49" fontId="38" fillId="0" borderId="0" xfId="0" applyNumberFormat="1" applyFont="1" applyFill="1" applyAlignment="1"/>
    <xf numFmtId="0" fontId="32" fillId="0" borderId="0" xfId="0" applyFont="1" applyFill="1" applyAlignment="1"/>
    <xf numFmtId="49" fontId="38" fillId="0" borderId="0" xfId="0" applyNumberFormat="1" applyFont="1" applyFill="1"/>
    <xf numFmtId="165" fontId="38" fillId="0" borderId="0" xfId="0" applyNumberFormat="1" applyFont="1" applyFill="1"/>
    <xf numFmtId="165" fontId="4" fillId="0" borderId="0" xfId="0" applyNumberFormat="1" applyFont="1" applyFill="1" applyAlignment="1"/>
    <xf numFmtId="0" fontId="38" fillId="0" borderId="0" xfId="0" applyFont="1" applyAlignment="1">
      <alignment vertical="top" wrapText="1"/>
    </xf>
    <xf numFmtId="0" fontId="32" fillId="0" borderId="0" xfId="0" applyFont="1" applyFill="1" applyAlignment="1">
      <alignment vertical="top"/>
    </xf>
    <xf numFmtId="0" fontId="32" fillId="0" borderId="0" xfId="0" applyFont="1" applyFill="1" applyAlignment="1">
      <alignment wrapText="1"/>
    </xf>
    <xf numFmtId="165" fontId="37" fillId="0" borderId="0" xfId="0" applyNumberFormat="1" applyFont="1" applyFill="1"/>
    <xf numFmtId="165" fontId="0" fillId="0" borderId="0" xfId="0" applyNumberFormat="1" applyFill="1"/>
    <xf numFmtId="165" fontId="2" fillId="0" borderId="1" xfId="0" applyNumberFormat="1" applyFont="1" applyFill="1" applyBorder="1"/>
    <xf numFmtId="165" fontId="2" fillId="0" borderId="1" xfId="0" applyNumberFormat="1" applyFont="1" applyFill="1" applyBorder="1" applyAlignment="1">
      <alignment vertical="top"/>
    </xf>
    <xf numFmtId="4" fontId="37" fillId="0" borderId="0" xfId="0" applyNumberFormat="1" applyFont="1" applyFill="1"/>
    <xf numFmtId="0" fontId="38" fillId="0" borderId="0" xfId="0" applyFont="1" applyFill="1" applyAlignment="1">
      <alignment horizontal="right" vertical="top"/>
    </xf>
    <xf numFmtId="4" fontId="14" fillId="0" borderId="0" xfId="0" applyNumberFormat="1" applyFont="1" applyFill="1"/>
    <xf numFmtId="0" fontId="2" fillId="0" borderId="0" xfId="0" applyFont="1" applyFill="1" applyAlignment="1">
      <alignment horizontal="right" vertical="top"/>
    </xf>
    <xf numFmtId="165" fontId="30" fillId="0" borderId="1" xfId="0" applyNumberFormat="1" applyFont="1" applyFill="1" applyBorder="1" applyAlignment="1">
      <alignment vertical="top"/>
    </xf>
    <xf numFmtId="165" fontId="3" fillId="0" borderId="1" xfId="0" applyNumberFormat="1" applyFont="1" applyFill="1" applyBorder="1" applyAlignment="1">
      <alignment vertical="top"/>
    </xf>
    <xf numFmtId="165" fontId="7" fillId="0" borderId="1" xfId="1" applyNumberFormat="1" applyFont="1" applyFill="1" applyBorder="1" applyAlignment="1">
      <alignment horizontal="right" vertical="top"/>
    </xf>
    <xf numFmtId="165" fontId="7" fillId="0" borderId="1" xfId="1" applyNumberFormat="1" applyFont="1" applyFill="1" applyBorder="1" applyAlignment="1">
      <alignment vertical="top"/>
    </xf>
    <xf numFmtId="165" fontId="10" fillId="0" borderId="1" xfId="1" applyNumberFormat="1" applyFont="1" applyFill="1" applyBorder="1" applyAlignment="1">
      <alignment vertical="top"/>
    </xf>
    <xf numFmtId="0" fontId="30" fillId="0" borderId="0" xfId="0" applyFont="1" applyFill="1" applyAlignment="1">
      <alignment horizontal="left" vertical="top" wrapText="1"/>
    </xf>
    <xf numFmtId="165" fontId="3" fillId="0" borderId="0" xfId="0" applyNumberFormat="1" applyFont="1" applyFill="1" applyBorder="1" applyAlignment="1">
      <alignment vertical="top"/>
    </xf>
    <xf numFmtId="49" fontId="3" fillId="0" borderId="0" xfId="0" applyNumberFormat="1" applyFont="1" applyFill="1" applyBorder="1" applyAlignment="1">
      <alignment vertical="top"/>
    </xf>
    <xf numFmtId="49" fontId="16" fillId="0" borderId="0" xfId="0" applyNumberFormat="1" applyFont="1" applyFill="1" applyAlignment="1">
      <alignment horizontal="center"/>
    </xf>
    <xf numFmtId="0" fontId="16" fillId="0" borderId="0" xfId="0" applyFont="1" applyFill="1" applyAlignment="1">
      <alignment horizontal="center" wrapText="1"/>
    </xf>
    <xf numFmtId="0" fontId="18" fillId="0" borderId="0" xfId="0" applyFont="1" applyFill="1" applyAlignment="1"/>
    <xf numFmtId="0" fontId="19" fillId="0" borderId="0" xfId="0" applyFont="1" applyFill="1" applyAlignment="1">
      <alignment vertical="top"/>
    </xf>
    <xf numFmtId="0" fontId="13" fillId="0" borderId="1" xfId="0" applyFont="1" applyFill="1" applyBorder="1" applyAlignment="1">
      <alignment vertical="top" wrapText="1"/>
    </xf>
    <xf numFmtId="165" fontId="9" fillId="0" borderId="1" xfId="0" applyNumberFormat="1" applyFont="1" applyFill="1" applyBorder="1" applyAlignment="1">
      <alignment horizontal="center" vertical="top"/>
    </xf>
    <xf numFmtId="0" fontId="9" fillId="0" borderId="0" xfId="0" applyFont="1" applyFill="1" applyAlignment="1">
      <alignment wrapText="1"/>
    </xf>
    <xf numFmtId="0" fontId="9" fillId="0" borderId="0" xfId="0" applyFont="1" applyFill="1" applyAlignment="1">
      <alignment horizontal="center"/>
    </xf>
    <xf numFmtId="49" fontId="38" fillId="0" borderId="0" xfId="0" applyNumberFormat="1" applyFont="1" applyFill="1" applyAlignment="1">
      <alignment horizontal="center" vertical="top"/>
    </xf>
    <xf numFmtId="165" fontId="38" fillId="0" borderId="0" xfId="0" applyNumberFormat="1" applyFont="1" applyFill="1" applyAlignment="1">
      <alignment horizontal="center"/>
    </xf>
    <xf numFmtId="165" fontId="37" fillId="0" borderId="0" xfId="0" applyNumberFormat="1" applyFont="1" applyFill="1" applyAlignment="1">
      <alignment horizontal="center"/>
    </xf>
    <xf numFmtId="165" fontId="38" fillId="0" borderId="0" xfId="0" applyNumberFormat="1" applyFont="1" applyFill="1" applyAlignment="1">
      <alignment horizontal="center" vertical="top"/>
    </xf>
    <xf numFmtId="165" fontId="38" fillId="0" borderId="0" xfId="0" applyNumberFormat="1" applyFont="1" applyFill="1" applyAlignment="1">
      <alignment horizontal="center" vertical="top" wrapText="1"/>
    </xf>
    <xf numFmtId="0" fontId="38" fillId="0" borderId="0" xfId="0" applyFont="1" applyAlignment="1">
      <alignment horizontal="center" vertical="top"/>
    </xf>
    <xf numFmtId="0" fontId="32" fillId="0" borderId="0" xfId="0" applyFont="1" applyAlignment="1">
      <alignment horizontal="center"/>
    </xf>
    <xf numFmtId="0" fontId="32" fillId="0" borderId="0" xfId="0" applyFont="1" applyAlignment="1">
      <alignment horizontal="center" vertical="top"/>
    </xf>
    <xf numFmtId="0" fontId="20" fillId="0" borderId="0" xfId="0" applyFont="1" applyAlignment="1">
      <alignment horizontal="center" vertical="center"/>
    </xf>
    <xf numFmtId="0" fontId="43" fillId="0" borderId="0" xfId="0" applyFont="1" applyFill="1" applyAlignment="1">
      <alignment horizontal="center" vertical="center"/>
    </xf>
    <xf numFmtId="2" fontId="43" fillId="0" borderId="0" xfId="0" applyNumberFormat="1" applyFont="1" applyFill="1" applyAlignment="1">
      <alignment horizontal="center" vertical="center"/>
    </xf>
    <xf numFmtId="0" fontId="20" fillId="0" borderId="0" xfId="0" applyFont="1" applyFill="1" applyAlignment="1">
      <alignment horizontal="center" vertical="center"/>
    </xf>
    <xf numFmtId="0" fontId="10" fillId="0" borderId="0" xfId="0" applyFont="1" applyFill="1" applyAlignment="1">
      <alignment horizontal="center" vertical="top"/>
    </xf>
    <xf numFmtId="0" fontId="47" fillId="0" borderId="0" xfId="0" applyFont="1" applyFill="1"/>
    <xf numFmtId="0" fontId="20" fillId="0" borderId="0" xfId="0" applyFont="1" applyAlignment="1"/>
    <xf numFmtId="49" fontId="37" fillId="0" borderId="0" xfId="0" applyNumberFormat="1" applyFont="1" applyAlignment="1"/>
    <xf numFmtId="0" fontId="37" fillId="0" borderId="0" xfId="0" applyFont="1" applyAlignment="1"/>
    <xf numFmtId="0" fontId="38" fillId="0" borderId="0" xfId="0" applyFont="1" applyAlignment="1">
      <alignment horizontal="left" wrapText="1"/>
    </xf>
    <xf numFmtId="0" fontId="38" fillId="0" borderId="0" xfId="0" applyFont="1" applyAlignment="1">
      <alignment horizontal="center" wrapText="1"/>
    </xf>
    <xf numFmtId="0" fontId="0" fillId="0" borderId="0" xfId="0" applyAlignment="1"/>
    <xf numFmtId="166" fontId="43" fillId="0" borderId="0" xfId="0" applyNumberFormat="1" applyFont="1" applyFill="1" applyAlignment="1">
      <alignment horizontal="center" vertical="center"/>
    </xf>
    <xf numFmtId="4" fontId="46" fillId="0" borderId="1" xfId="0" applyNumberFormat="1" applyFont="1" applyFill="1" applyBorder="1" applyAlignment="1">
      <alignment horizontal="center" vertical="center" wrapText="1"/>
    </xf>
    <xf numFmtId="0" fontId="31" fillId="0" borderId="1" xfId="0" applyFont="1" applyFill="1" applyBorder="1" applyAlignment="1">
      <alignment vertical="top" wrapText="1"/>
    </xf>
    <xf numFmtId="4" fontId="45" fillId="0" borderId="1" xfId="0" applyNumberFormat="1" applyFont="1" applyFill="1" applyBorder="1" applyAlignment="1">
      <alignment horizontal="center" vertical="center" wrapText="1"/>
    </xf>
    <xf numFmtId="0" fontId="42" fillId="0" borderId="1" xfId="0" applyFont="1" applyFill="1" applyBorder="1" applyAlignment="1">
      <alignment vertical="top" wrapText="1"/>
    </xf>
    <xf numFmtId="2" fontId="46" fillId="0" borderId="1" xfId="0" applyNumberFormat="1" applyFont="1" applyFill="1" applyBorder="1" applyAlignment="1">
      <alignment horizontal="center" vertical="top" wrapText="1"/>
    </xf>
    <xf numFmtId="2" fontId="45" fillId="0" borderId="1" xfId="0" applyNumberFormat="1" applyFont="1" applyFill="1" applyBorder="1" applyAlignment="1">
      <alignment horizontal="center" vertical="top" wrapText="1"/>
    </xf>
    <xf numFmtId="164" fontId="41" fillId="0" borderId="1" xfId="0" applyNumberFormat="1" applyFont="1" applyFill="1" applyBorder="1" applyAlignment="1">
      <alignment horizontal="right"/>
    </xf>
    <xf numFmtId="164" fontId="8" fillId="0" borderId="1" xfId="0" applyNumberFormat="1" applyFont="1" applyFill="1" applyBorder="1" applyAlignment="1">
      <alignment horizontal="right"/>
    </xf>
    <xf numFmtId="0" fontId="7" fillId="0" borderId="1" xfId="0" applyFont="1" applyFill="1" applyBorder="1" applyAlignment="1">
      <alignment horizontal="center" vertical="top" wrapText="1"/>
    </xf>
    <xf numFmtId="0" fontId="25" fillId="0" borderId="0" xfId="0" applyNumberFormat="1" applyFont="1" applyFill="1"/>
    <xf numFmtId="0" fontId="12" fillId="0" borderId="0" xfId="0" applyFont="1" applyFill="1" applyAlignment="1">
      <alignment vertical="center" wrapText="1"/>
    </xf>
    <xf numFmtId="0" fontId="38" fillId="0" borderId="0" xfId="0" applyFont="1" applyFill="1" applyAlignment="1">
      <alignment wrapText="1"/>
    </xf>
    <xf numFmtId="0" fontId="36" fillId="0" borderId="0" xfId="0" applyFont="1" applyFill="1" applyAlignment="1"/>
    <xf numFmtId="0" fontId="40" fillId="0" borderId="0" xfId="0" applyFont="1" applyFill="1" applyAlignment="1">
      <alignment vertical="top"/>
    </xf>
    <xf numFmtId="2" fontId="46" fillId="0" borderId="1" xfId="0" applyNumberFormat="1" applyFont="1" applyFill="1" applyBorder="1" applyAlignment="1">
      <alignment horizontal="center" vertical="center" wrapText="1"/>
    </xf>
    <xf numFmtId="0" fontId="20" fillId="0" borderId="0" xfId="0" applyFont="1" applyFill="1" applyAlignment="1">
      <alignment vertical="center"/>
    </xf>
    <xf numFmtId="0" fontId="7" fillId="0" borderId="0" xfId="0" applyFont="1" applyFill="1" applyAlignment="1">
      <alignment horizontal="center" vertical="top"/>
    </xf>
    <xf numFmtId="2" fontId="7" fillId="0" borderId="0" xfId="0" applyNumberFormat="1" applyFont="1" applyFill="1" applyBorder="1" applyAlignment="1">
      <alignment horizontal="center" vertical="top" wrapText="1"/>
    </xf>
    <xf numFmtId="2" fontId="7" fillId="0" borderId="0" xfId="0" applyNumberFormat="1" applyFont="1" applyFill="1" applyAlignment="1">
      <alignment horizontal="center" vertical="top"/>
    </xf>
    <xf numFmtId="166" fontId="32" fillId="0" borderId="5" xfId="0" applyNumberFormat="1" applyFont="1" applyFill="1" applyBorder="1" applyAlignment="1">
      <alignment vertical="center"/>
    </xf>
    <xf numFmtId="166" fontId="32" fillId="0" borderId="0" xfId="0" applyNumberFormat="1" applyFont="1" applyFill="1" applyBorder="1" applyAlignment="1">
      <alignment vertical="center"/>
    </xf>
    <xf numFmtId="2" fontId="7" fillId="0" borderId="0" xfId="0" applyNumberFormat="1" applyFont="1" applyFill="1" applyBorder="1" applyAlignment="1">
      <alignment horizontal="center" vertical="top"/>
    </xf>
    <xf numFmtId="0" fontId="13" fillId="0" borderId="0" xfId="0" applyFont="1" applyFill="1" applyBorder="1" applyAlignment="1">
      <alignment horizontal="center" vertical="top" wrapText="1"/>
    </xf>
    <xf numFmtId="0" fontId="51" fillId="0" borderId="1" xfId="0" applyFont="1" applyFill="1" applyBorder="1" applyAlignment="1">
      <alignment wrapText="1"/>
    </xf>
    <xf numFmtId="49" fontId="9" fillId="0" borderId="1" xfId="0" applyNumberFormat="1" applyFont="1" applyFill="1" applyBorder="1" applyAlignment="1">
      <alignment horizontal="center"/>
    </xf>
    <xf numFmtId="49" fontId="9" fillId="0" borderId="1" xfId="0" applyNumberFormat="1" applyFont="1" applyFill="1" applyBorder="1" applyAlignment="1">
      <alignment horizontal="center" wrapText="1"/>
    </xf>
    <xf numFmtId="0" fontId="9" fillId="0" borderId="1" xfId="0" applyFont="1" applyFill="1" applyBorder="1" applyAlignment="1">
      <alignment horizontal="center"/>
    </xf>
    <xf numFmtId="49" fontId="32" fillId="0" borderId="0" xfId="0" applyNumberFormat="1" applyFont="1" applyFill="1" applyAlignment="1">
      <alignment horizontal="center"/>
    </xf>
    <xf numFmtId="49" fontId="9" fillId="0" borderId="0" xfId="0" applyNumberFormat="1" applyFont="1" applyFill="1" applyAlignment="1">
      <alignment horizontal="center"/>
    </xf>
    <xf numFmtId="0" fontId="9" fillId="0" borderId="14" xfId="0" applyFont="1" applyFill="1" applyBorder="1" applyAlignment="1">
      <alignment wrapText="1"/>
    </xf>
    <xf numFmtId="0" fontId="52" fillId="0" borderId="1" xfId="0" applyFont="1" applyFill="1" applyBorder="1" applyAlignment="1">
      <alignment horizontal="center" vertical="top"/>
    </xf>
    <xf numFmtId="49" fontId="52" fillId="0" borderId="1" xfId="0" applyNumberFormat="1" applyFont="1" applyFill="1" applyBorder="1"/>
    <xf numFmtId="0" fontId="52" fillId="0" borderId="1" xfId="0" applyFont="1" applyFill="1" applyBorder="1" applyAlignment="1">
      <alignment horizontal="left" vertical="top" wrapText="1"/>
    </xf>
    <xf numFmtId="0" fontId="54" fillId="0" borderId="1" xfId="0" applyFont="1" applyFill="1" applyBorder="1" applyAlignment="1">
      <alignment horizontal="left" vertical="top" wrapText="1"/>
    </xf>
    <xf numFmtId="0" fontId="52" fillId="0" borderId="1" xfId="0" applyFont="1" applyFill="1" applyBorder="1" applyAlignment="1">
      <alignment horizontal="justify" vertical="top" wrapText="1"/>
    </xf>
    <xf numFmtId="0" fontId="52" fillId="0" borderId="1" xfId="0" applyFont="1" applyFill="1" applyBorder="1" applyAlignment="1">
      <alignment vertical="top" wrapText="1"/>
    </xf>
    <xf numFmtId="49" fontId="52" fillId="0" borderId="1" xfId="0" applyNumberFormat="1" applyFont="1" applyFill="1" applyBorder="1" applyAlignment="1">
      <alignment horizontal="left" vertical="top" wrapText="1"/>
    </xf>
    <xf numFmtId="0" fontId="55" fillId="0" borderId="1" xfId="0" applyFont="1" applyFill="1" applyBorder="1" applyAlignment="1">
      <alignment wrapText="1"/>
    </xf>
    <xf numFmtId="49" fontId="52" fillId="0" borderId="1" xfId="0" applyNumberFormat="1" applyFont="1" applyFill="1" applyBorder="1" applyAlignment="1">
      <alignment horizontal="center" vertical="center"/>
    </xf>
    <xf numFmtId="49" fontId="52" fillId="0" borderId="1" xfId="0" applyNumberFormat="1" applyFont="1" applyFill="1" applyBorder="1" applyAlignment="1">
      <alignment horizontal="center" vertical="center" wrapText="1"/>
    </xf>
    <xf numFmtId="49" fontId="7" fillId="0" borderId="6" xfId="0" applyNumberFormat="1" applyFont="1" applyFill="1" applyBorder="1" applyAlignment="1">
      <alignment vertical="top" wrapText="1"/>
    </xf>
    <xf numFmtId="49" fontId="7" fillId="0" borderId="8" xfId="0" applyNumberFormat="1" applyFont="1" applyFill="1" applyBorder="1" applyAlignment="1">
      <alignment vertical="top" wrapText="1"/>
    </xf>
    <xf numFmtId="49" fontId="7" fillId="0" borderId="7" xfId="0" applyNumberFormat="1" applyFont="1" applyFill="1" applyBorder="1" applyAlignment="1">
      <alignment vertical="top" wrapText="1"/>
    </xf>
    <xf numFmtId="167" fontId="43" fillId="0" borderId="0" xfId="0" applyNumberFormat="1" applyFont="1" applyFill="1" applyAlignment="1">
      <alignment horizontal="center" vertical="center"/>
    </xf>
    <xf numFmtId="167" fontId="45" fillId="0" borderId="1" xfId="0" applyNumberFormat="1" applyFont="1" applyFill="1" applyBorder="1" applyAlignment="1">
      <alignment horizontal="center" vertical="center" wrapText="1"/>
    </xf>
    <xf numFmtId="167" fontId="46" fillId="0" borderId="1" xfId="0" applyNumberFormat="1" applyFont="1" applyFill="1" applyBorder="1" applyAlignment="1">
      <alignment horizontal="center" vertical="center" wrapText="1"/>
    </xf>
    <xf numFmtId="167" fontId="20" fillId="0" borderId="0" xfId="0" applyNumberFormat="1" applyFont="1" applyFill="1" applyAlignment="1">
      <alignment horizontal="center" vertical="center"/>
    </xf>
    <xf numFmtId="167" fontId="20" fillId="0" borderId="0" xfId="0" applyNumberFormat="1" applyFont="1" applyFill="1" applyAlignment="1">
      <alignment vertical="center"/>
    </xf>
    <xf numFmtId="0" fontId="38" fillId="0" borderId="0" xfId="0" applyFont="1" applyAlignment="1">
      <alignment horizontal="center"/>
    </xf>
    <xf numFmtId="0" fontId="9" fillId="0" borderId="2" xfId="0" applyFont="1" applyFill="1" applyBorder="1" applyAlignment="1">
      <alignment horizontal="center"/>
    </xf>
    <xf numFmtId="49" fontId="9" fillId="0" borderId="7" xfId="0" applyNumberFormat="1" applyFont="1" applyFill="1" applyBorder="1" applyAlignment="1">
      <alignment horizontal="center"/>
    </xf>
    <xf numFmtId="0" fontId="9" fillId="0" borderId="7" xfId="0" applyFont="1" applyFill="1" applyBorder="1" applyAlignment="1">
      <alignment horizontal="center"/>
    </xf>
    <xf numFmtId="0" fontId="9" fillId="0" borderId="7" xfId="0" applyFont="1" applyFill="1" applyBorder="1" applyAlignment="1">
      <alignment horizontal="justify" vertical="top"/>
    </xf>
    <xf numFmtId="164" fontId="9" fillId="0" borderId="7" xfId="0" applyNumberFormat="1" applyFont="1" applyFill="1" applyBorder="1" applyAlignment="1">
      <alignment horizontal="center" vertical="top"/>
    </xf>
    <xf numFmtId="0" fontId="13" fillId="0" borderId="7" xfId="0" applyFont="1" applyFill="1" applyBorder="1" applyAlignment="1">
      <alignment horizontal="center" vertical="top" wrapText="1"/>
    </xf>
    <xf numFmtId="4" fontId="9" fillId="0" borderId="7" xfId="0" applyNumberFormat="1" applyFont="1" applyFill="1" applyBorder="1" applyAlignment="1">
      <alignment horizontal="center" vertical="center" wrapText="1"/>
    </xf>
    <xf numFmtId="0" fontId="2" fillId="0" borderId="1" xfId="0" applyFont="1" applyFill="1" applyBorder="1" applyAlignment="1">
      <alignment vertical="top"/>
    </xf>
    <xf numFmtId="1" fontId="13" fillId="0" borderId="1" xfId="0" applyNumberFormat="1" applyFont="1" applyFill="1" applyBorder="1" applyAlignment="1">
      <alignment horizontal="center" vertical="top" wrapText="1"/>
    </xf>
    <xf numFmtId="1" fontId="9" fillId="0" borderId="1" xfId="0" applyNumberFormat="1" applyFont="1" applyFill="1" applyBorder="1" applyAlignment="1">
      <alignment horizontal="center" vertical="top"/>
    </xf>
    <xf numFmtId="0" fontId="13" fillId="0" borderId="1" xfId="0" applyFont="1" applyBorder="1" applyAlignment="1">
      <alignment vertical="center" wrapText="1"/>
    </xf>
    <xf numFmtId="4" fontId="13" fillId="0" borderId="1" xfId="0" applyNumberFormat="1" applyFont="1" applyBorder="1" applyAlignment="1">
      <alignment horizontal="center" vertical="center" wrapText="1"/>
    </xf>
    <xf numFmtId="4" fontId="13" fillId="0" borderId="1" xfId="0" applyNumberFormat="1" applyFont="1" applyBorder="1" applyAlignment="1">
      <alignment horizontal="center" vertical="center"/>
    </xf>
    <xf numFmtId="0" fontId="13" fillId="0" borderId="1" xfId="0" applyFont="1" applyBorder="1" applyAlignment="1">
      <alignment horizontal="center" vertical="center"/>
    </xf>
    <xf numFmtId="0" fontId="13" fillId="0" borderId="8" xfId="0" applyFont="1" applyFill="1" applyBorder="1" applyAlignment="1">
      <alignment horizontal="center" vertical="center"/>
    </xf>
    <xf numFmtId="0" fontId="13" fillId="0" borderId="1" xfId="0" applyFont="1" applyBorder="1" applyAlignment="1">
      <alignment vertical="top" wrapText="1"/>
    </xf>
    <xf numFmtId="165" fontId="37" fillId="0" borderId="0" xfId="0" applyNumberFormat="1" applyFont="1" applyFill="1" applyAlignment="1">
      <alignment horizontal="left"/>
    </xf>
    <xf numFmtId="0" fontId="38" fillId="0" borderId="1" xfId="0" applyFont="1" applyFill="1" applyBorder="1" applyAlignment="1">
      <alignment vertical="top" wrapText="1"/>
    </xf>
    <xf numFmtId="4" fontId="38" fillId="0" borderId="1" xfId="0" applyNumberFormat="1" applyFont="1" applyFill="1" applyBorder="1" applyAlignment="1">
      <alignment horizontal="center" vertical="center" wrapText="1"/>
    </xf>
    <xf numFmtId="0" fontId="38" fillId="0" borderId="0" xfId="0" applyFont="1" applyFill="1" applyAlignment="1">
      <alignment horizontal="justify"/>
    </xf>
    <xf numFmtId="4" fontId="60" fillId="0" borderId="1" xfId="0" applyNumberFormat="1" applyFont="1" applyFill="1" applyBorder="1" applyAlignment="1">
      <alignment horizontal="center" vertical="center" wrapText="1"/>
    </xf>
    <xf numFmtId="4" fontId="61"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top" wrapText="1"/>
    </xf>
    <xf numFmtId="4" fontId="9" fillId="0" borderId="1" xfId="0" applyNumberFormat="1" applyFont="1" applyFill="1" applyBorder="1" applyAlignment="1">
      <alignment horizontal="center" vertical="center" wrapText="1"/>
    </xf>
    <xf numFmtId="0" fontId="54" fillId="0" borderId="1" xfId="0" applyFont="1" applyFill="1" applyBorder="1" applyAlignment="1">
      <alignment horizontal="center" vertical="center" wrapText="1"/>
    </xf>
    <xf numFmtId="0" fontId="54" fillId="0" borderId="1" xfId="0" applyFont="1" applyFill="1" applyBorder="1" applyAlignment="1">
      <alignment horizontal="center" vertical="top" wrapText="1"/>
    </xf>
    <xf numFmtId="0" fontId="54" fillId="0" borderId="1" xfId="0" applyFont="1" applyFill="1" applyBorder="1" applyAlignment="1">
      <alignment vertical="center" wrapText="1"/>
    </xf>
    <xf numFmtId="0" fontId="56" fillId="0" borderId="1" xfId="0" applyFont="1" applyFill="1" applyBorder="1" applyAlignment="1">
      <alignment horizontal="justify" vertical="center" wrapText="1"/>
    </xf>
    <xf numFmtId="0" fontId="9" fillId="0" borderId="1" xfId="0" applyNumberFormat="1" applyFont="1" applyFill="1" applyBorder="1" applyAlignment="1">
      <alignment horizontal="center"/>
    </xf>
    <xf numFmtId="2" fontId="13" fillId="0" borderId="1" xfId="0" applyNumberFormat="1" applyFont="1" applyFill="1" applyBorder="1" applyAlignment="1">
      <alignment horizontal="center" vertical="top" wrapText="1"/>
    </xf>
    <xf numFmtId="0" fontId="9" fillId="0" borderId="0" xfId="0" applyFont="1" applyFill="1" applyAlignment="1">
      <alignment horizontal="center" vertical="top"/>
    </xf>
    <xf numFmtId="164" fontId="13" fillId="0" borderId="1" xfId="0" applyNumberFormat="1" applyFont="1" applyFill="1" applyBorder="1" applyAlignment="1">
      <alignment horizontal="center" vertical="top" wrapText="1"/>
    </xf>
    <xf numFmtId="0" fontId="13" fillId="0" borderId="4" xfId="0" applyFont="1" applyFill="1" applyBorder="1" applyAlignment="1">
      <alignment vertical="top" wrapText="1"/>
    </xf>
    <xf numFmtId="0" fontId="9" fillId="0" borderId="4" xfId="0" applyFont="1" applyFill="1" applyBorder="1" applyAlignment="1">
      <alignment vertical="top" wrapText="1"/>
    </xf>
    <xf numFmtId="0" fontId="13" fillId="0" borderId="4" xfId="0" applyFont="1" applyFill="1" applyBorder="1" applyAlignment="1">
      <alignment wrapText="1"/>
    </xf>
    <xf numFmtId="0" fontId="9" fillId="0" borderId="1" xfId="0" applyFont="1" applyFill="1" applyBorder="1"/>
    <xf numFmtId="0" fontId="13" fillId="0" borderId="1" xfId="0" applyFont="1" applyFill="1" applyBorder="1" applyAlignment="1">
      <alignment horizontal="center" wrapText="1"/>
    </xf>
    <xf numFmtId="0" fontId="13" fillId="0" borderId="2" xfId="0" applyFont="1" applyFill="1" applyBorder="1" applyAlignment="1">
      <alignment horizontal="center" wrapText="1"/>
    </xf>
    <xf numFmtId="0" fontId="13" fillId="0" borderId="8" xfId="0" applyFont="1" applyFill="1" applyBorder="1" applyAlignment="1">
      <alignment horizontal="justify" vertical="top" wrapText="1"/>
    </xf>
    <xf numFmtId="0" fontId="13" fillId="0" borderId="1" xfId="0" applyFont="1" applyFill="1" applyBorder="1" applyAlignment="1">
      <alignment horizontal="justify" vertical="top" wrapText="1"/>
    </xf>
    <xf numFmtId="0" fontId="13" fillId="0" borderId="1" xfId="0" applyFont="1" applyFill="1" applyBorder="1" applyAlignment="1">
      <alignment horizontal="center" vertical="center" wrapText="1"/>
    </xf>
    <xf numFmtId="0" fontId="9" fillId="0" borderId="8" xfId="0" applyFont="1" applyFill="1" applyBorder="1"/>
    <xf numFmtId="49" fontId="32" fillId="0" borderId="0" xfId="0" applyNumberFormat="1" applyFont="1" applyFill="1" applyAlignment="1">
      <alignment horizontal="left"/>
    </xf>
    <xf numFmtId="0" fontId="32" fillId="0" borderId="0" xfId="0" applyFont="1" applyAlignment="1">
      <alignment horizontal="right"/>
    </xf>
    <xf numFmtId="49" fontId="13" fillId="0" borderId="5" xfId="0" applyNumberFormat="1" applyFont="1" applyBorder="1" applyAlignment="1">
      <alignment horizontal="center" vertical="top"/>
    </xf>
    <xf numFmtId="49" fontId="13" fillId="0" borderId="5" xfId="0" applyNumberFormat="1" applyFont="1" applyFill="1" applyBorder="1" applyAlignment="1">
      <alignment horizontal="center" vertical="top"/>
    </xf>
    <xf numFmtId="0" fontId="13" fillId="0" borderId="5" xfId="0" applyFont="1" applyBorder="1" applyAlignment="1">
      <alignment horizontal="center" vertical="top"/>
    </xf>
    <xf numFmtId="0" fontId="13" fillId="0" borderId="5" xfId="0" applyFont="1" applyFill="1" applyBorder="1" applyAlignment="1">
      <alignment horizontal="center" vertical="top" wrapText="1"/>
    </xf>
    <xf numFmtId="0" fontId="13" fillId="0" borderId="0" xfId="0" applyFont="1" applyBorder="1" applyAlignment="1">
      <alignment vertical="center" wrapText="1"/>
    </xf>
    <xf numFmtId="0" fontId="38" fillId="0" borderId="0" xfId="0" applyFont="1" applyFill="1" applyAlignment="1">
      <alignment horizontal="right"/>
    </xf>
    <xf numFmtId="0" fontId="32" fillId="0" borderId="0" xfId="0" applyFont="1" applyFill="1" applyAlignment="1">
      <alignment horizontal="right"/>
    </xf>
    <xf numFmtId="0" fontId="0" fillId="0" borderId="0" xfId="0" applyFill="1" applyAlignment="1">
      <alignment horizontal="right"/>
    </xf>
    <xf numFmtId="0" fontId="38" fillId="0" borderId="0" xfId="0" applyFont="1" applyAlignment="1">
      <alignment horizontal="right" wrapText="1"/>
    </xf>
    <xf numFmtId="49" fontId="32" fillId="0" borderId="0" xfId="0" applyNumberFormat="1" applyFont="1" applyFill="1" applyAlignment="1">
      <alignment horizontal="right"/>
    </xf>
    <xf numFmtId="0" fontId="38" fillId="0" borderId="0" xfId="0" applyFont="1" applyFill="1" applyBorder="1" applyAlignment="1">
      <alignment horizontal="right" vertical="top" wrapText="1"/>
    </xf>
    <xf numFmtId="0" fontId="38" fillId="0" borderId="0" xfId="0" applyFont="1" applyFill="1" applyAlignment="1">
      <alignment horizontal="left" vertical="center"/>
    </xf>
    <xf numFmtId="0" fontId="38" fillId="0" borderId="0" xfId="0" applyFont="1" applyFill="1" applyAlignment="1">
      <alignment horizontal="center" vertical="center"/>
    </xf>
    <xf numFmtId="0" fontId="9" fillId="0" borderId="7" xfId="0" applyFont="1" applyFill="1" applyBorder="1"/>
    <xf numFmtId="0" fontId="9" fillId="0" borderId="1" xfId="0" applyFont="1" applyFill="1" applyBorder="1" applyAlignment="1">
      <alignment horizontal="center" vertical="center" wrapText="1"/>
    </xf>
    <xf numFmtId="0" fontId="32" fillId="0" borderId="0" xfId="0" applyFont="1" applyFill="1" applyAlignment="1">
      <alignment horizontal="center"/>
    </xf>
    <xf numFmtId="0" fontId="20" fillId="0" borderId="0" xfId="0" applyFont="1" applyAlignment="1">
      <alignment horizontal="center"/>
    </xf>
    <xf numFmtId="0" fontId="9" fillId="2" borderId="1" xfId="0" applyFont="1" applyFill="1" applyBorder="1" applyAlignment="1">
      <alignment horizontal="center" vertical="top" wrapText="1"/>
    </xf>
    <xf numFmtId="0" fontId="19" fillId="0" borderId="0" xfId="0" applyFont="1" applyAlignment="1">
      <alignment horizontal="center" vertical="top"/>
    </xf>
    <xf numFmtId="0" fontId="13" fillId="0" borderId="1" xfId="0" applyFont="1" applyFill="1" applyBorder="1" applyAlignment="1">
      <alignment horizontal="center" vertical="top" wrapText="1"/>
    </xf>
    <xf numFmtId="0" fontId="38" fillId="0" borderId="0" xfId="0" applyFont="1" applyFill="1" applyAlignment="1">
      <alignment horizontal="left"/>
    </xf>
    <xf numFmtId="0" fontId="38" fillId="0" borderId="0" xfId="0" applyFont="1" applyFill="1" applyAlignment="1">
      <alignment horizontal="center"/>
    </xf>
    <xf numFmtId="0" fontId="7" fillId="0" borderId="1" xfId="0" applyFont="1" applyFill="1" applyBorder="1" applyAlignment="1">
      <alignment horizontal="center" vertical="center" wrapText="1"/>
    </xf>
    <xf numFmtId="49" fontId="3" fillId="0" borderId="6" xfId="0" applyNumberFormat="1" applyFont="1" applyFill="1" applyBorder="1" applyAlignment="1">
      <alignment horizontal="center" vertical="top"/>
    </xf>
    <xf numFmtId="0" fontId="7" fillId="0" borderId="6" xfId="0" applyFont="1" applyFill="1" applyBorder="1" applyAlignment="1">
      <alignment horizontal="center" vertical="top" wrapText="1"/>
    </xf>
    <xf numFmtId="0" fontId="37" fillId="0" borderId="0" xfId="0" applyFont="1" applyFill="1" applyAlignment="1">
      <alignment horizontal="left"/>
    </xf>
    <xf numFmtId="0" fontId="37" fillId="0" borderId="0" xfId="0" applyFont="1" applyFill="1" applyAlignment="1"/>
    <xf numFmtId="165" fontId="3" fillId="0" borderId="1" xfId="0" applyNumberFormat="1" applyFont="1" applyFill="1" applyBorder="1" applyAlignment="1">
      <alignment horizontal="center" vertical="top" wrapText="1"/>
    </xf>
    <xf numFmtId="0" fontId="5" fillId="0" borderId="0" xfId="0" applyFont="1" applyFill="1" applyAlignment="1">
      <alignment horizontal="center" vertical="top" wrapText="1"/>
    </xf>
    <xf numFmtId="0" fontId="38" fillId="0" borderId="0" xfId="0" applyFont="1" applyAlignment="1">
      <alignment horizontal="center" vertical="center"/>
    </xf>
    <xf numFmtId="0" fontId="54" fillId="0" borderId="1" xfId="0" applyFont="1" applyFill="1" applyBorder="1" applyAlignment="1">
      <alignment horizontal="left" vertical="center" wrapText="1"/>
    </xf>
    <xf numFmtId="2" fontId="20" fillId="0" borderId="0" xfId="0" applyNumberFormat="1" applyFont="1" applyFill="1" applyAlignment="1">
      <alignment horizontal="center" vertical="center"/>
    </xf>
    <xf numFmtId="3" fontId="44" fillId="0" borderId="0" xfId="0" applyNumberFormat="1" applyFont="1" applyFill="1" applyAlignment="1">
      <alignment horizontal="center" vertical="center" wrapText="1"/>
    </xf>
    <xf numFmtId="0" fontId="54" fillId="0" borderId="1" xfId="0" applyFont="1" applyFill="1" applyBorder="1" applyAlignment="1">
      <alignment horizontal="justify" vertical="top" wrapText="1"/>
    </xf>
    <xf numFmtId="0" fontId="59" fillId="0" borderId="0" xfId="0" applyFont="1" applyFill="1" applyAlignment="1">
      <alignment horizontal="center" vertical="center"/>
    </xf>
    <xf numFmtId="0" fontId="58" fillId="0" borderId="0" xfId="0" applyFont="1" applyFill="1" applyAlignment="1">
      <alignment horizontal="center" vertical="center"/>
    </xf>
    <xf numFmtId="0" fontId="60" fillId="0" borderId="1" xfId="0" applyFont="1" applyFill="1" applyBorder="1" applyAlignment="1">
      <alignment horizontal="center" vertical="center" wrapText="1"/>
    </xf>
    <xf numFmtId="2" fontId="61" fillId="0" borderId="1" xfId="0" applyNumberFormat="1" applyFont="1" applyFill="1" applyBorder="1" applyAlignment="1">
      <alignment horizontal="center" vertical="top" wrapText="1"/>
    </xf>
    <xf numFmtId="0" fontId="42" fillId="0" borderId="1" xfId="0" applyFont="1" applyFill="1" applyBorder="1" applyAlignment="1">
      <alignment horizontal="left" vertical="top" wrapText="1"/>
    </xf>
    <xf numFmtId="2" fontId="61" fillId="0" borderId="1" xfId="0" applyNumberFormat="1" applyFont="1" applyFill="1" applyBorder="1" applyAlignment="1">
      <alignment horizontal="center" vertical="center" wrapText="1"/>
    </xf>
    <xf numFmtId="0" fontId="47" fillId="0" borderId="0" xfId="0" applyFont="1" applyFill="1" applyAlignment="1">
      <alignment vertical="center"/>
    </xf>
    <xf numFmtId="49" fontId="3" fillId="0" borderId="6" xfId="0" applyNumberFormat="1" applyFont="1" applyFill="1" applyBorder="1" applyAlignment="1">
      <alignment horizontal="center" vertical="top"/>
    </xf>
    <xf numFmtId="49" fontId="7" fillId="0" borderId="7" xfId="0" applyNumberFormat="1" applyFont="1" applyFill="1" applyBorder="1" applyAlignment="1">
      <alignment vertical="top"/>
    </xf>
    <xf numFmtId="49" fontId="3" fillId="0" borderId="7" xfId="0" applyNumberFormat="1" applyFont="1" applyFill="1" applyBorder="1" applyAlignment="1">
      <alignment vertical="top"/>
    </xf>
    <xf numFmtId="0" fontId="7" fillId="0" borderId="6" xfId="0" applyFont="1" applyFill="1" applyBorder="1" applyAlignment="1">
      <alignment horizontal="left" vertical="top" wrapText="1"/>
    </xf>
    <xf numFmtId="49" fontId="52" fillId="0" borderId="1" xfId="0" applyNumberFormat="1" applyFont="1" applyFill="1" applyBorder="1" applyAlignment="1">
      <alignment horizontal="center" vertical="top" wrapText="1"/>
    </xf>
    <xf numFmtId="49" fontId="52" fillId="0" borderId="1" xfId="0" applyNumberFormat="1" applyFont="1" applyFill="1" applyBorder="1" applyAlignment="1">
      <alignment horizontal="center" vertical="top"/>
    </xf>
    <xf numFmtId="0" fontId="7" fillId="0" borderId="6" xfId="0" applyFont="1" applyFill="1" applyBorder="1" applyAlignment="1">
      <alignment horizontal="left" vertical="top" wrapText="1"/>
    </xf>
    <xf numFmtId="0" fontId="52" fillId="0" borderId="0" xfId="0" applyFont="1" applyFill="1" applyAlignment="1">
      <alignment horizontal="left" vertical="top" wrapText="1"/>
    </xf>
    <xf numFmtId="0" fontId="54" fillId="0" borderId="1" xfId="0" applyNumberFormat="1" applyFont="1" applyFill="1" applyBorder="1" applyAlignment="1">
      <alignment horizontal="left" vertical="top" wrapText="1"/>
    </xf>
    <xf numFmtId="0" fontId="52" fillId="0" borderId="1" xfId="0" applyNumberFormat="1" applyFont="1" applyFill="1" applyBorder="1" applyAlignment="1">
      <alignment horizontal="left" vertical="top" wrapText="1"/>
    </xf>
    <xf numFmtId="0" fontId="52" fillId="0" borderId="6" xfId="0" applyFont="1" applyFill="1" applyBorder="1" applyAlignment="1">
      <alignment horizontal="center" vertical="top" wrapText="1"/>
    </xf>
    <xf numFmtId="0" fontId="52" fillId="0" borderId="1" xfId="0" applyFont="1" applyFill="1" applyBorder="1" applyAlignment="1">
      <alignment horizontal="center" vertical="center"/>
    </xf>
    <xf numFmtId="0" fontId="52" fillId="3" borderId="1" xfId="0" applyFont="1" applyFill="1" applyBorder="1" applyAlignment="1">
      <alignment horizontal="justify" vertical="top" wrapText="1"/>
    </xf>
    <xf numFmtId="0" fontId="54" fillId="3" borderId="1" xfId="0" applyFont="1" applyFill="1" applyBorder="1" applyAlignment="1">
      <alignment horizontal="justify" vertical="top" wrapText="1"/>
    </xf>
    <xf numFmtId="49" fontId="52" fillId="3" borderId="1" xfId="0" applyNumberFormat="1" applyFont="1" applyFill="1" applyBorder="1" applyAlignment="1">
      <alignment horizontal="center" vertical="top" wrapText="1"/>
    </xf>
    <xf numFmtId="49" fontId="52" fillId="3" borderId="1" xfId="0" applyNumberFormat="1" applyFont="1" applyFill="1" applyBorder="1" applyAlignment="1">
      <alignment horizontal="center" vertical="top"/>
    </xf>
    <xf numFmtId="0" fontId="54" fillId="3" borderId="1" xfId="0" applyFont="1" applyFill="1" applyBorder="1" applyAlignment="1">
      <alignment vertical="top" wrapText="1"/>
    </xf>
    <xf numFmtId="0" fontId="54" fillId="0" borderId="1" xfId="0" applyFont="1" applyFill="1" applyBorder="1" applyAlignment="1">
      <alignment wrapText="1"/>
    </xf>
    <xf numFmtId="0" fontId="54" fillId="0" borderId="0" xfId="0" applyFont="1" applyFill="1" applyAlignment="1">
      <alignment wrapText="1"/>
    </xf>
    <xf numFmtId="0" fontId="25" fillId="4" borderId="0" xfId="0" applyFont="1" applyFill="1"/>
    <xf numFmtId="0" fontId="20" fillId="4" borderId="0" xfId="0" applyFont="1" applyFill="1"/>
    <xf numFmtId="4" fontId="7" fillId="0" borderId="1" xfId="1" applyNumberFormat="1" applyFont="1" applyFill="1" applyBorder="1" applyAlignment="1">
      <alignment vertical="top"/>
    </xf>
    <xf numFmtId="4" fontId="3" fillId="0" borderId="1" xfId="0" applyNumberFormat="1" applyFont="1" applyFill="1" applyBorder="1" applyAlignment="1">
      <alignment vertical="top"/>
    </xf>
    <xf numFmtId="4" fontId="30" fillId="0" borderId="1" xfId="0" applyNumberFormat="1" applyFont="1" applyFill="1" applyBorder="1" applyAlignment="1">
      <alignment vertical="top"/>
    </xf>
    <xf numFmtId="4" fontId="7" fillId="0" borderId="1" xfId="1" applyNumberFormat="1" applyFont="1" applyFill="1" applyBorder="1" applyAlignment="1">
      <alignment horizontal="right" vertical="top"/>
    </xf>
    <xf numFmtId="4" fontId="46" fillId="0" borderId="1" xfId="0" applyNumberFormat="1" applyFont="1" applyFill="1" applyBorder="1" applyAlignment="1">
      <alignment horizontal="center" vertical="top" wrapText="1"/>
    </xf>
    <xf numFmtId="165" fontId="10" fillId="0" borderId="1" xfId="0" applyNumberFormat="1" applyFont="1" applyFill="1" applyBorder="1" applyAlignment="1">
      <alignment vertical="top"/>
    </xf>
    <xf numFmtId="49" fontId="7" fillId="0" borderId="8" xfId="0" applyNumberFormat="1" applyFont="1" applyFill="1" applyBorder="1" applyAlignment="1">
      <alignment horizontal="center" vertical="top" wrapText="1"/>
    </xf>
    <xf numFmtId="0" fontId="31" fillId="0" borderId="8" xfId="0" applyFont="1" applyFill="1" applyBorder="1" applyAlignment="1">
      <alignment horizontal="center" vertical="top" wrapText="1"/>
    </xf>
    <xf numFmtId="0" fontId="45" fillId="0" borderId="1" xfId="0" applyFont="1" applyFill="1" applyBorder="1" applyAlignment="1">
      <alignment horizontal="center" vertical="center" wrapText="1"/>
    </xf>
    <xf numFmtId="0" fontId="26" fillId="0" borderId="0" xfId="0" applyFont="1" applyFill="1" applyAlignment="1">
      <alignment horizontal="center" vertical="top"/>
    </xf>
    <xf numFmtId="0" fontId="32" fillId="0" borderId="0" xfId="0" applyFont="1" applyFill="1" applyAlignment="1">
      <alignment horizontal="center" wrapText="1"/>
    </xf>
    <xf numFmtId="0" fontId="13" fillId="0" borderId="1" xfId="0" applyFont="1" applyBorder="1" applyAlignment="1">
      <alignment horizontal="center" vertical="center" wrapText="1"/>
    </xf>
    <xf numFmtId="49" fontId="9" fillId="0" borderId="0" xfId="0" applyNumberFormat="1" applyFont="1" applyFill="1"/>
    <xf numFmtId="0" fontId="45" fillId="0" borderId="1" xfId="0" applyFont="1" applyFill="1" applyBorder="1" applyAlignment="1">
      <alignment horizontal="center" vertical="center" wrapText="1"/>
    </xf>
    <xf numFmtId="0" fontId="53" fillId="0" borderId="1" xfId="0" applyFont="1" applyFill="1" applyBorder="1" applyAlignment="1">
      <alignment horizontal="justify" vertical="top" wrapText="1"/>
    </xf>
    <xf numFmtId="0" fontId="53" fillId="0" borderId="1" xfId="0" applyFont="1" applyFill="1" applyBorder="1" applyAlignment="1">
      <alignment vertical="top" wrapText="1"/>
    </xf>
    <xf numFmtId="49" fontId="53" fillId="0" borderId="1" xfId="0" applyNumberFormat="1" applyFont="1" applyFill="1" applyBorder="1" applyAlignment="1">
      <alignment horizontal="center" vertical="top" wrapText="1"/>
    </xf>
    <xf numFmtId="49" fontId="53" fillId="0" borderId="1" xfId="0" applyNumberFormat="1" applyFont="1" applyFill="1" applyBorder="1" applyAlignment="1">
      <alignment horizontal="center" vertical="top"/>
    </xf>
    <xf numFmtId="0" fontId="53" fillId="0" borderId="1" xfId="0" applyFont="1" applyFill="1" applyBorder="1" applyAlignment="1">
      <alignment horizontal="center" vertical="top"/>
    </xf>
    <xf numFmtId="0" fontId="57" fillId="0" borderId="1" xfId="0" applyFont="1" applyFill="1" applyBorder="1" applyAlignment="1">
      <alignment horizontal="left" vertical="top" wrapText="1"/>
    </xf>
    <xf numFmtId="165" fontId="7" fillId="0" borderId="0" xfId="1" applyNumberFormat="1" applyFont="1" applyFill="1" applyBorder="1" applyAlignment="1">
      <alignment vertical="top"/>
    </xf>
    <xf numFmtId="165" fontId="8" fillId="0" borderId="1" xfId="0" applyNumberFormat="1" applyFont="1" applyFill="1" applyBorder="1" applyAlignment="1">
      <alignment vertical="top"/>
    </xf>
    <xf numFmtId="165" fontId="8" fillId="0" borderId="1" xfId="0" applyNumberFormat="1" applyFont="1" applyFill="1" applyBorder="1"/>
    <xf numFmtId="165" fontId="7" fillId="0" borderId="1" xfId="0" applyNumberFormat="1" applyFont="1" applyFill="1" applyBorder="1" applyAlignment="1">
      <alignment vertical="top"/>
    </xf>
    <xf numFmtId="4" fontId="10" fillId="0" borderId="1" xfId="0" applyNumberFormat="1" applyFont="1" applyFill="1" applyBorder="1" applyAlignment="1">
      <alignment vertical="top"/>
    </xf>
    <xf numFmtId="165" fontId="29" fillId="0" borderId="0" xfId="0" applyNumberFormat="1" applyFont="1" applyFill="1"/>
    <xf numFmtId="4" fontId="29" fillId="0" borderId="0" xfId="0" applyNumberFormat="1" applyFont="1" applyFill="1"/>
    <xf numFmtId="165" fontId="0" fillId="0" borderId="0" xfId="0" applyNumberFormat="1" applyFont="1" applyFill="1"/>
    <xf numFmtId="0" fontId="13" fillId="0" borderId="1" xfId="0" applyFont="1" applyFill="1" applyBorder="1" applyAlignment="1">
      <alignment horizontal="center" vertical="top" wrapText="1"/>
    </xf>
    <xf numFmtId="0" fontId="38" fillId="0" borderId="1" xfId="0" applyFont="1" applyFill="1" applyBorder="1" applyAlignment="1">
      <alignment horizontal="center" vertical="top" wrapText="1"/>
    </xf>
    <xf numFmtId="0" fontId="5" fillId="0" borderId="0" xfId="0" applyFont="1" applyFill="1" applyAlignment="1">
      <alignment horizontal="center" vertical="top" wrapText="1"/>
    </xf>
    <xf numFmtId="0" fontId="38" fillId="0" borderId="7" xfId="0" applyFont="1" applyFill="1" applyBorder="1" applyAlignment="1">
      <alignment horizontal="center" vertical="top" wrapText="1"/>
    </xf>
    <xf numFmtId="0" fontId="32" fillId="0" borderId="0" xfId="0" applyFont="1" applyFill="1" applyAlignment="1">
      <alignment horizontal="center"/>
    </xf>
    <xf numFmtId="0" fontId="34" fillId="0" borderId="0" xfId="0" applyFont="1" applyFill="1" applyAlignment="1">
      <alignment horizontal="center"/>
    </xf>
    <xf numFmtId="0" fontId="9" fillId="0" borderId="7" xfId="0" applyFont="1" applyFill="1" applyBorder="1" applyAlignment="1">
      <alignment horizontal="center" vertical="top" wrapText="1"/>
    </xf>
    <xf numFmtId="0" fontId="9" fillId="0" borderId="1" xfId="0" applyFont="1" applyFill="1" applyBorder="1" applyAlignment="1">
      <alignment horizontal="center" vertical="top" wrapText="1"/>
    </xf>
    <xf numFmtId="49" fontId="52" fillId="0" borderId="6" xfId="0" applyNumberFormat="1" applyFont="1" applyFill="1" applyBorder="1" applyAlignment="1">
      <alignment horizontal="center" vertical="top" wrapText="1"/>
    </xf>
    <xf numFmtId="49" fontId="53" fillId="0" borderId="6" xfId="0" applyNumberFormat="1" applyFont="1" applyFill="1" applyBorder="1" applyAlignment="1">
      <alignment horizontal="center" vertical="top" wrapText="1"/>
    </xf>
    <xf numFmtId="49" fontId="53" fillId="0" borderId="6" xfId="0" applyNumberFormat="1" applyFont="1" applyFill="1" applyBorder="1" applyAlignment="1">
      <alignment horizontal="center" vertical="top"/>
    </xf>
    <xf numFmtId="0" fontId="53" fillId="0" borderId="1" xfId="0" applyFont="1" applyFill="1" applyBorder="1" applyAlignment="1">
      <alignment horizontal="center" vertical="top" wrapText="1"/>
    </xf>
    <xf numFmtId="0" fontId="52" fillId="0" borderId="1" xfId="0" applyFont="1" applyFill="1" applyBorder="1" applyAlignment="1">
      <alignment horizontal="center" vertical="center" wrapText="1"/>
    </xf>
    <xf numFmtId="0" fontId="52" fillId="0" borderId="1" xfId="0" applyFont="1" applyFill="1" applyBorder="1" applyAlignment="1">
      <alignment horizontal="center" vertical="top" wrapText="1"/>
    </xf>
    <xf numFmtId="49" fontId="52" fillId="0" borderId="7" xfId="0" applyNumberFormat="1" applyFont="1" applyFill="1" applyBorder="1" applyAlignment="1">
      <alignment horizontal="center" vertical="center"/>
    </xf>
    <xf numFmtId="0" fontId="54" fillId="0" borderId="6" xfId="0" applyFont="1" applyFill="1" applyBorder="1" applyAlignment="1">
      <alignment horizontal="left" vertical="top" wrapText="1"/>
    </xf>
    <xf numFmtId="0" fontId="53" fillId="0" borderId="1" xfId="0" applyFont="1" applyFill="1" applyBorder="1" applyAlignment="1">
      <alignment horizontal="left" vertical="top" wrapText="1"/>
    </xf>
    <xf numFmtId="49" fontId="52" fillId="0" borderId="6" xfId="0" applyNumberFormat="1" applyFont="1" applyFill="1" applyBorder="1" applyAlignment="1">
      <alignment horizontal="center" vertical="top"/>
    </xf>
    <xf numFmtId="0" fontId="57" fillId="0" borderId="6" xfId="0" applyFont="1" applyFill="1" applyBorder="1" applyAlignment="1">
      <alignment horizontal="left" vertical="top" wrapText="1"/>
    </xf>
    <xf numFmtId="0" fontId="54" fillId="0" borderId="1" xfId="0" applyFont="1" applyFill="1" applyBorder="1" applyAlignment="1">
      <alignment vertical="top" wrapText="1"/>
    </xf>
    <xf numFmtId="0" fontId="13" fillId="0" borderId="1" xfId="0" applyFont="1" applyFill="1" applyBorder="1" applyAlignment="1">
      <alignment horizontal="center" vertical="top" wrapText="1"/>
    </xf>
    <xf numFmtId="0" fontId="16" fillId="0" borderId="0" xfId="0" applyFont="1" applyFill="1" applyAlignment="1">
      <alignment horizontal="center"/>
    </xf>
    <xf numFmtId="0" fontId="32" fillId="0" borderId="0" xfId="0" applyFont="1" applyFill="1" applyAlignment="1">
      <alignment horizontal="center" vertical="top"/>
    </xf>
    <xf numFmtId="0" fontId="32" fillId="0" borderId="0" xfId="0" applyFont="1" applyFill="1" applyAlignment="1">
      <alignment horizontal="center" wrapText="1"/>
    </xf>
    <xf numFmtId="0" fontId="51" fillId="0" borderId="1" xfId="0" applyFont="1" applyFill="1" applyBorder="1" applyAlignment="1">
      <alignment vertical="top" wrapText="1"/>
    </xf>
    <xf numFmtId="49" fontId="7" fillId="0" borderId="0" xfId="0" applyNumberFormat="1" applyFont="1" applyFill="1" applyBorder="1"/>
    <xf numFmtId="0" fontId="7" fillId="0" borderId="0" xfId="0" applyFont="1" applyFill="1" applyBorder="1"/>
    <xf numFmtId="0" fontId="7" fillId="0" borderId="0" xfId="0" applyFont="1" applyFill="1" applyBorder="1" applyAlignment="1">
      <alignment horizontal="center"/>
    </xf>
    <xf numFmtId="0" fontId="32" fillId="0" borderId="0" xfId="0" applyFont="1" applyFill="1" applyBorder="1" applyAlignment="1">
      <alignment horizontal="center"/>
    </xf>
    <xf numFmtId="0" fontId="62" fillId="0" borderId="0" xfId="0" applyFont="1" applyFill="1" applyBorder="1"/>
    <xf numFmtId="0" fontId="63" fillId="0" borderId="0" xfId="0" applyFont="1" applyFill="1" applyBorder="1" applyAlignment="1">
      <alignment horizontal="center" vertical="center"/>
    </xf>
    <xf numFmtId="0" fontId="32" fillId="0" borderId="0" xfId="0" applyFont="1" applyFill="1" applyBorder="1" applyAlignment="1">
      <alignment horizontal="center" vertical="top"/>
    </xf>
    <xf numFmtId="0" fontId="32" fillId="0" borderId="0" xfId="0" applyFont="1" applyFill="1" applyBorder="1" applyAlignment="1">
      <alignment horizontal="center" wrapText="1"/>
    </xf>
    <xf numFmtId="49" fontId="10" fillId="0" borderId="0" xfId="0" applyNumberFormat="1" applyFont="1" applyFill="1" applyBorder="1" applyAlignment="1">
      <alignment horizontal="center"/>
    </xf>
    <xf numFmtId="0" fontId="10" fillId="0" borderId="0" xfId="0" applyFont="1" applyFill="1" applyBorder="1" applyAlignment="1">
      <alignment horizontal="center"/>
    </xf>
    <xf numFmtId="49" fontId="32" fillId="0" borderId="0" xfId="0" applyNumberFormat="1" applyFont="1" applyFill="1" applyBorder="1" applyAlignment="1"/>
    <xf numFmtId="49" fontId="32" fillId="0" borderId="0" xfId="0" applyNumberFormat="1" applyFont="1" applyFill="1" applyBorder="1"/>
    <xf numFmtId="0" fontId="34" fillId="0" borderId="0" xfId="0" applyFont="1" applyFill="1" applyBorder="1" applyAlignment="1"/>
    <xf numFmtId="0" fontId="32" fillId="0" borderId="0" xfId="0" applyFont="1" applyFill="1" applyBorder="1"/>
    <xf numFmtId="0" fontId="34" fillId="0" borderId="0" xfId="0" applyFont="1" applyFill="1" applyBorder="1" applyAlignment="1">
      <alignment horizontal="center"/>
    </xf>
    <xf numFmtId="49" fontId="7" fillId="0" borderId="0" xfId="0" applyNumberFormat="1" applyFont="1" applyFill="1" applyBorder="1" applyAlignment="1">
      <alignment horizontal="left"/>
    </xf>
    <xf numFmtId="0" fontId="26" fillId="0" borderId="0" xfId="0" applyFont="1" applyFill="1" applyBorder="1" applyAlignment="1">
      <alignment vertical="top"/>
    </xf>
    <xf numFmtId="0" fontId="62" fillId="0" borderId="0" xfId="0" applyFont="1" applyFill="1" applyBorder="1" applyAlignment="1">
      <alignment wrapText="1"/>
    </xf>
    <xf numFmtId="0" fontId="56" fillId="0" borderId="1" xfId="0" applyFont="1" applyFill="1" applyBorder="1" applyAlignment="1">
      <alignment horizontal="left" vertical="top" wrapText="1"/>
    </xf>
    <xf numFmtId="0" fontId="64" fillId="0" borderId="1" xfId="0" applyFont="1" applyFill="1" applyBorder="1" applyAlignment="1">
      <alignment horizontal="left" vertical="top" wrapText="1"/>
    </xf>
    <xf numFmtId="0" fontId="56" fillId="0" borderId="1" xfId="0" applyFont="1" applyFill="1" applyBorder="1" applyAlignment="1">
      <alignment horizontal="center" vertical="top" wrapText="1"/>
    </xf>
    <xf numFmtId="0" fontId="56" fillId="0" borderId="1" xfId="0" applyFont="1" applyFill="1" applyBorder="1" applyAlignment="1">
      <alignment horizontal="left" vertical="center" wrapText="1"/>
    </xf>
    <xf numFmtId="0" fontId="56" fillId="0" borderId="1" xfId="0" applyFont="1" applyFill="1" applyBorder="1" applyAlignment="1">
      <alignment vertical="top" wrapText="1"/>
    </xf>
    <xf numFmtId="0" fontId="56" fillId="0" borderId="1" xfId="0" applyFont="1" applyFill="1" applyBorder="1" applyAlignment="1">
      <alignment vertical="center" wrapText="1"/>
    </xf>
    <xf numFmtId="0" fontId="56" fillId="0" borderId="1" xfId="0" applyNumberFormat="1" applyFont="1" applyFill="1" applyBorder="1" applyAlignment="1">
      <alignment horizontal="left" vertical="top" wrapText="1"/>
    </xf>
    <xf numFmtId="0" fontId="62" fillId="5" borderId="0" xfId="0" applyFont="1" applyFill="1" applyBorder="1"/>
    <xf numFmtId="0" fontId="26" fillId="0" borderId="0" xfId="0" applyFont="1" applyFill="1" applyBorder="1" applyAlignment="1">
      <alignment horizontal="center" vertical="top"/>
    </xf>
    <xf numFmtId="49" fontId="53" fillId="0" borderId="6" xfId="0" applyNumberFormat="1" applyFont="1" applyFill="1" applyBorder="1" applyAlignment="1">
      <alignment vertical="top" wrapText="1"/>
    </xf>
    <xf numFmtId="49" fontId="53" fillId="0" borderId="6" xfId="0" applyNumberFormat="1" applyFont="1" applyFill="1" applyBorder="1" applyAlignment="1">
      <alignment vertical="top"/>
    </xf>
    <xf numFmtId="0" fontId="53" fillId="0" borderId="6" xfId="0" applyFont="1" applyFill="1" applyBorder="1" applyAlignment="1">
      <alignment vertical="top" wrapText="1"/>
    </xf>
    <xf numFmtId="4" fontId="52" fillId="0" borderId="7" xfId="0" applyNumberFormat="1" applyFont="1" applyFill="1" applyBorder="1" applyAlignment="1">
      <alignment horizontal="center" vertical="top" wrapText="1"/>
    </xf>
    <xf numFmtId="4" fontId="52" fillId="0" borderId="1" xfId="0" applyNumberFormat="1" applyFont="1" applyFill="1" applyBorder="1" applyAlignment="1">
      <alignment horizontal="center" vertical="top" wrapText="1"/>
    </xf>
    <xf numFmtId="0" fontId="7" fillId="0" borderId="0" xfId="0" applyFont="1" applyFill="1" applyBorder="1" applyAlignment="1">
      <alignment horizontal="center" vertical="top"/>
    </xf>
    <xf numFmtId="0" fontId="7" fillId="0" borderId="0" xfId="0" applyFont="1" applyFill="1" applyBorder="1" applyAlignment="1">
      <alignment wrapText="1"/>
    </xf>
    <xf numFmtId="0" fontId="10" fillId="0" borderId="0" xfId="0" applyFont="1" applyFill="1" applyBorder="1" applyAlignment="1">
      <alignment horizontal="center" vertical="top"/>
    </xf>
    <xf numFmtId="0" fontId="34" fillId="0" borderId="0" xfId="0" applyFont="1" applyFill="1" applyBorder="1" applyAlignment="1">
      <alignment horizontal="center" vertical="top"/>
    </xf>
    <xf numFmtId="0" fontId="6" fillId="0" borderId="1" xfId="0" applyFont="1" applyBorder="1" applyAlignment="1">
      <alignment horizontal="center" vertical="center" wrapText="1"/>
    </xf>
    <xf numFmtId="4" fontId="56" fillId="0" borderId="1" xfId="0" applyNumberFormat="1" applyFont="1" applyFill="1" applyBorder="1" applyAlignment="1">
      <alignment horizontal="center" vertical="top" wrapText="1"/>
    </xf>
    <xf numFmtId="0" fontId="56" fillId="0" borderId="6" xfId="0" applyNumberFormat="1" applyFont="1" applyFill="1" applyBorder="1" applyAlignment="1">
      <alignment horizontal="center" vertical="top" wrapText="1"/>
    </xf>
    <xf numFmtId="0" fontId="56" fillId="0" borderId="6" xfId="0" applyFont="1" applyFill="1" applyBorder="1" applyAlignment="1">
      <alignment horizontal="center" vertical="top" wrapText="1"/>
    </xf>
    <xf numFmtId="0" fontId="56" fillId="0" borderId="6" xfId="0" applyFont="1" applyFill="1" applyBorder="1" applyAlignment="1">
      <alignment vertical="top" wrapText="1"/>
    </xf>
    <xf numFmtId="0" fontId="65" fillId="0" borderId="1" xfId="0" applyFont="1" applyFill="1" applyBorder="1" applyAlignment="1">
      <alignment horizontal="left" vertical="top" wrapText="1"/>
    </xf>
    <xf numFmtId="0" fontId="32" fillId="0" borderId="0" xfId="0" applyFont="1" applyFill="1" applyAlignment="1">
      <alignment horizontal="center"/>
    </xf>
    <xf numFmtId="0" fontId="32" fillId="0" borderId="0" xfId="0" applyFont="1" applyFill="1" applyAlignment="1">
      <alignment horizontal="center"/>
    </xf>
    <xf numFmtId="165" fontId="3" fillId="0" borderId="1" xfId="0" applyNumberFormat="1" applyFont="1" applyFill="1" applyBorder="1" applyAlignment="1">
      <alignment horizontal="center" vertical="top" wrapText="1"/>
    </xf>
    <xf numFmtId="0" fontId="51" fillId="0" borderId="1" xfId="0" applyFont="1" applyFill="1" applyBorder="1" applyAlignment="1">
      <alignment vertical="center" wrapText="1"/>
    </xf>
    <xf numFmtId="0" fontId="32" fillId="0" borderId="0" xfId="0" applyFont="1" applyFill="1" applyAlignment="1">
      <alignment horizontal="center"/>
    </xf>
    <xf numFmtId="0" fontId="38" fillId="0" borderId="0" xfId="0" applyFont="1" applyAlignment="1">
      <alignment horizontal="center" vertical="center"/>
    </xf>
    <xf numFmtId="0" fontId="32" fillId="0" borderId="0" xfId="0" applyFont="1" applyFill="1" applyAlignment="1">
      <alignment horizontal="center" vertical="top"/>
    </xf>
    <xf numFmtId="0" fontId="32" fillId="0" borderId="0" xfId="0" applyFont="1" applyFill="1" applyAlignment="1">
      <alignment horizontal="center" wrapText="1"/>
    </xf>
    <xf numFmtId="0" fontId="26" fillId="0" borderId="0" xfId="0" applyFont="1" applyFill="1" applyAlignment="1">
      <alignment horizontal="center" vertical="top"/>
    </xf>
    <xf numFmtId="0" fontId="13" fillId="0" borderId="1" xfId="0" applyFont="1" applyFill="1" applyBorder="1" applyAlignment="1">
      <alignment horizontal="center" vertical="top" wrapText="1"/>
    </xf>
    <xf numFmtId="0" fontId="38" fillId="0" borderId="1" xfId="0" applyFont="1" applyFill="1" applyBorder="1" applyAlignment="1">
      <alignment horizontal="center" vertical="top" wrapText="1"/>
    </xf>
    <xf numFmtId="0" fontId="5" fillId="0" borderId="0" xfId="0" applyFont="1" applyFill="1" applyAlignment="1">
      <alignment horizontal="center" vertical="top" wrapText="1"/>
    </xf>
    <xf numFmtId="0" fontId="13" fillId="0" borderId="1" xfId="0" applyFont="1" applyBorder="1" applyAlignment="1">
      <alignment horizontal="center" vertical="center" wrapText="1"/>
    </xf>
    <xf numFmtId="0" fontId="0" fillId="0" borderId="0" xfId="0" applyFill="1" applyAlignment="1"/>
    <xf numFmtId="0" fontId="45" fillId="0" borderId="1" xfId="0" applyFont="1" applyFill="1" applyBorder="1" applyAlignment="1">
      <alignment horizontal="center"/>
    </xf>
    <xf numFmtId="4" fontId="0" fillId="0" borderId="0" xfId="0" applyNumberFormat="1" applyFill="1"/>
    <xf numFmtId="4" fontId="20" fillId="0" borderId="0" xfId="0" applyNumberFormat="1" applyFont="1" applyFill="1"/>
    <xf numFmtId="4" fontId="13" fillId="0" borderId="1" xfId="0" applyNumberFormat="1" applyFont="1" applyFill="1" applyBorder="1" applyAlignment="1">
      <alignment horizontal="center" vertical="center" wrapText="1"/>
    </xf>
    <xf numFmtId="4" fontId="0" fillId="0" borderId="0" xfId="0" applyNumberFormat="1"/>
    <xf numFmtId="4" fontId="7" fillId="0" borderId="7" xfId="0" applyNumberFormat="1" applyFont="1" applyFill="1" applyBorder="1" applyAlignment="1">
      <alignment horizontal="center" vertical="top" wrapText="1"/>
    </xf>
    <xf numFmtId="4" fontId="20" fillId="4" borderId="0" xfId="0" applyNumberFormat="1" applyFont="1" applyFill="1"/>
    <xf numFmtId="4" fontId="62" fillId="0" borderId="0" xfId="0" applyNumberFormat="1" applyFont="1" applyFill="1" applyBorder="1"/>
    <xf numFmtId="0" fontId="32" fillId="0" borderId="0" xfId="0" applyFont="1" applyFill="1" applyAlignment="1">
      <alignment horizontal="center"/>
    </xf>
    <xf numFmtId="0" fontId="45" fillId="0" borderId="1" xfId="0" applyFont="1" applyFill="1" applyBorder="1" applyAlignment="1">
      <alignment horizontal="center" vertical="center" wrapText="1"/>
    </xf>
    <xf numFmtId="0" fontId="32" fillId="0" borderId="0" xfId="0" applyFont="1" applyFill="1" applyAlignment="1">
      <alignment horizontal="center"/>
    </xf>
    <xf numFmtId="165" fontId="3" fillId="0" borderId="1" xfId="0" applyNumberFormat="1" applyFont="1" applyFill="1" applyBorder="1" applyAlignment="1">
      <alignment horizontal="center" vertical="top" wrapText="1"/>
    </xf>
    <xf numFmtId="49" fontId="38" fillId="0" borderId="0" xfId="0" applyNumberFormat="1" applyFont="1" applyFill="1" applyAlignment="1">
      <alignment horizontal="center"/>
    </xf>
    <xf numFmtId="49" fontId="38" fillId="0" borderId="0" xfId="0" applyNumberFormat="1" applyFont="1" applyFill="1" applyAlignment="1">
      <alignment horizontal="center" vertical="top"/>
    </xf>
    <xf numFmtId="167" fontId="32" fillId="0" borderId="0" xfId="0" applyNumberFormat="1" applyFont="1" applyFill="1" applyAlignment="1">
      <alignment horizontal="center" vertical="center"/>
    </xf>
    <xf numFmtId="0" fontId="9" fillId="0" borderId="6"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7" xfId="0" applyFont="1" applyFill="1" applyBorder="1" applyAlignment="1">
      <alignment horizontal="left" vertical="top" wrapText="1"/>
    </xf>
    <xf numFmtId="0" fontId="16" fillId="0" borderId="9" xfId="0" applyFont="1" applyFill="1" applyBorder="1" applyAlignment="1">
      <alignment horizontal="center" vertical="center"/>
    </xf>
    <xf numFmtId="0" fontId="16" fillId="0" borderId="5" xfId="0" applyFont="1" applyFill="1" applyBorder="1" applyAlignment="1">
      <alignment horizontal="center" vertical="center"/>
    </xf>
    <xf numFmtId="0" fontId="9" fillId="0" borderId="1" xfId="0" applyFont="1" applyFill="1" applyBorder="1" applyAlignment="1">
      <alignment horizontal="left" vertical="top" wrapText="1"/>
    </xf>
    <xf numFmtId="0" fontId="32" fillId="0" borderId="0" xfId="0" applyFont="1" applyFill="1" applyAlignment="1">
      <alignment horizontal="center"/>
    </xf>
    <xf numFmtId="0" fontId="19" fillId="0" borderId="0" xfId="0" applyFont="1" applyFill="1" applyAlignment="1">
      <alignment horizontal="center" vertical="top" wrapText="1"/>
    </xf>
    <xf numFmtId="0" fontId="34" fillId="0" borderId="0" xfId="0" applyFont="1" applyFill="1" applyAlignment="1">
      <alignment horizontal="center"/>
    </xf>
    <xf numFmtId="0" fontId="34" fillId="0" borderId="0" xfId="0" applyFont="1" applyFill="1" applyAlignment="1">
      <alignment horizontal="center" wrapText="1"/>
    </xf>
    <xf numFmtId="0" fontId="33" fillId="0" borderId="0" xfId="0" applyFont="1" applyFill="1" applyAlignment="1">
      <alignment horizontal="center"/>
    </xf>
    <xf numFmtId="0" fontId="13" fillId="0" borderId="7" xfId="0" applyFont="1" applyFill="1" applyBorder="1" applyAlignment="1">
      <alignment horizontal="left" vertical="top" wrapText="1"/>
    </xf>
    <xf numFmtId="0" fontId="13" fillId="0" borderId="1" xfId="0" applyFont="1" applyFill="1" applyBorder="1" applyAlignment="1">
      <alignment horizontal="left" vertical="top" wrapText="1"/>
    </xf>
    <xf numFmtId="0" fontId="9" fillId="0" borderId="1" xfId="0" applyFont="1" applyFill="1" applyBorder="1" applyAlignment="1">
      <alignment horizontal="center" vertical="top" wrapText="1"/>
    </xf>
    <xf numFmtId="0" fontId="16" fillId="0" borderId="1" xfId="0" applyFont="1" applyFill="1" applyBorder="1" applyAlignment="1">
      <alignment horizontal="center" wrapText="1"/>
    </xf>
    <xf numFmtId="0" fontId="16" fillId="0" borderId="9" xfId="0" applyFont="1" applyFill="1" applyBorder="1" applyAlignment="1">
      <alignment horizontal="center" vertical="top" wrapText="1"/>
    </xf>
    <xf numFmtId="0" fontId="16" fillId="0" borderId="5" xfId="0" applyFont="1" applyFill="1" applyBorder="1" applyAlignment="1">
      <alignment horizontal="center" vertical="top" wrapText="1"/>
    </xf>
    <xf numFmtId="0" fontId="9" fillId="0" borderId="1" xfId="0" applyFont="1" applyFill="1" applyBorder="1" applyAlignment="1">
      <alignment horizontal="center" wrapText="1"/>
    </xf>
    <xf numFmtId="0" fontId="9" fillId="0" borderId="1" xfId="0" applyFont="1" applyFill="1" applyBorder="1" applyAlignment="1">
      <alignment horizontal="center" vertical="center" wrapText="1"/>
    </xf>
    <xf numFmtId="0" fontId="52" fillId="0" borderId="6" xfId="0" applyFont="1" applyFill="1" applyBorder="1" applyAlignment="1">
      <alignment horizontal="left" vertical="top" wrapText="1"/>
    </xf>
    <xf numFmtId="0" fontId="52" fillId="0" borderId="7" xfId="0" applyFont="1" applyFill="1" applyBorder="1" applyAlignment="1">
      <alignment horizontal="left" vertical="top" wrapText="1"/>
    </xf>
    <xf numFmtId="49" fontId="52" fillId="0" borderId="6" xfId="0" applyNumberFormat="1" applyFont="1" applyFill="1" applyBorder="1" applyAlignment="1">
      <alignment horizontal="center" vertical="top" wrapText="1"/>
    </xf>
    <xf numFmtId="49" fontId="52" fillId="0" borderId="7" xfId="0" applyNumberFormat="1" applyFont="1" applyFill="1" applyBorder="1" applyAlignment="1">
      <alignment horizontal="center" vertical="top" wrapText="1"/>
    </xf>
    <xf numFmtId="49" fontId="52" fillId="0" borderId="6" xfId="0" applyNumberFormat="1" applyFont="1" applyFill="1" applyBorder="1" applyAlignment="1">
      <alignment horizontal="center" wrapText="1"/>
    </xf>
    <xf numFmtId="49" fontId="52" fillId="0" borderId="7" xfId="0" applyNumberFormat="1" applyFont="1" applyFill="1" applyBorder="1" applyAlignment="1">
      <alignment horizontal="center" wrapText="1"/>
    </xf>
    <xf numFmtId="0" fontId="26" fillId="0" borderId="0" xfId="0" applyFont="1" applyFill="1" applyAlignment="1">
      <alignment horizontal="center" vertical="top"/>
    </xf>
    <xf numFmtId="0" fontId="52" fillId="0" borderId="6" xfId="0" applyFont="1" applyFill="1" applyBorder="1" applyAlignment="1">
      <alignment horizontal="center" vertical="center" wrapText="1"/>
    </xf>
    <xf numFmtId="0" fontId="52" fillId="0" borderId="7" xfId="0" applyFont="1" applyFill="1" applyBorder="1" applyAlignment="1">
      <alignment horizontal="center" vertical="center" wrapText="1"/>
    </xf>
    <xf numFmtId="0" fontId="52" fillId="0" borderId="2" xfId="0" applyFont="1" applyFill="1" applyBorder="1" applyAlignment="1">
      <alignment horizontal="center" vertical="top" wrapText="1"/>
    </xf>
    <xf numFmtId="0" fontId="52" fillId="0" borderId="3" xfId="0" applyFont="1" applyFill="1" applyBorder="1" applyAlignment="1">
      <alignment horizontal="center" vertical="top" wrapText="1"/>
    </xf>
    <xf numFmtId="0" fontId="52" fillId="0" borderId="4" xfId="0" applyFont="1" applyFill="1" applyBorder="1" applyAlignment="1">
      <alignment horizontal="center" vertical="top" wrapText="1"/>
    </xf>
    <xf numFmtId="49" fontId="32" fillId="0" borderId="0" xfId="0" applyNumberFormat="1" applyFont="1" applyFill="1" applyAlignment="1">
      <alignment horizontal="center" wrapText="1"/>
    </xf>
    <xf numFmtId="49" fontId="52" fillId="0" borderId="6" xfId="0" applyNumberFormat="1" applyFont="1" applyFill="1" applyBorder="1" applyAlignment="1">
      <alignment horizontal="center" vertical="center"/>
    </xf>
    <xf numFmtId="49" fontId="52" fillId="0" borderId="7" xfId="0" applyNumberFormat="1" applyFont="1" applyFill="1" applyBorder="1" applyAlignment="1">
      <alignment horizontal="center" vertical="center"/>
    </xf>
    <xf numFmtId="0" fontId="54" fillId="0" borderId="6" xfId="0" applyFont="1" applyFill="1" applyBorder="1" applyAlignment="1">
      <alignment horizontal="left" vertical="top" wrapText="1"/>
    </xf>
    <xf numFmtId="0" fontId="54" fillId="0" borderId="7" xfId="0" applyFont="1" applyFill="1" applyBorder="1" applyAlignment="1">
      <alignment horizontal="left" vertical="top" wrapText="1"/>
    </xf>
    <xf numFmtId="49" fontId="53" fillId="0" borderId="6" xfId="0" applyNumberFormat="1" applyFont="1" applyFill="1" applyBorder="1" applyAlignment="1">
      <alignment horizontal="center" vertical="top" wrapText="1"/>
    </xf>
    <xf numFmtId="49" fontId="53" fillId="0" borderId="7" xfId="0" applyNumberFormat="1" applyFont="1" applyFill="1" applyBorder="1" applyAlignment="1">
      <alignment horizontal="center" vertical="top" wrapText="1"/>
    </xf>
    <xf numFmtId="0" fontId="54" fillId="3" borderId="6" xfId="0" applyFont="1" applyFill="1" applyBorder="1" applyAlignment="1">
      <alignment horizontal="left" vertical="top" wrapText="1"/>
    </xf>
    <xf numFmtId="0" fontId="54" fillId="3" borderId="7" xfId="0" applyFont="1" applyFill="1" applyBorder="1" applyAlignment="1">
      <alignment horizontal="left" vertical="top" wrapText="1"/>
    </xf>
    <xf numFmtId="0" fontId="54" fillId="0" borderId="6" xfId="0" applyFont="1" applyFill="1" applyBorder="1" applyAlignment="1">
      <alignment horizontal="justify" vertical="top" wrapText="1"/>
    </xf>
    <xf numFmtId="0" fontId="54" fillId="0" borderId="7" xfId="0" applyFont="1" applyFill="1" applyBorder="1" applyAlignment="1">
      <alignment horizontal="justify" vertical="top" wrapText="1"/>
    </xf>
    <xf numFmtId="49" fontId="52" fillId="3" borderId="6" xfId="0" applyNumberFormat="1" applyFont="1" applyFill="1" applyBorder="1" applyAlignment="1">
      <alignment horizontal="center" vertical="top" wrapText="1"/>
    </xf>
    <xf numFmtId="49" fontId="52" fillId="3" borderId="7" xfId="0" applyNumberFormat="1" applyFont="1" applyFill="1" applyBorder="1" applyAlignment="1">
      <alignment horizontal="center" vertical="top" wrapText="1"/>
    </xf>
    <xf numFmtId="49" fontId="52" fillId="0" borderId="6" xfId="0" applyNumberFormat="1" applyFont="1" applyFill="1" applyBorder="1" applyAlignment="1">
      <alignment horizontal="center" vertical="top"/>
    </xf>
    <xf numFmtId="49" fontId="52" fillId="0" borderId="7" xfId="0" applyNumberFormat="1" applyFont="1" applyFill="1" applyBorder="1" applyAlignment="1">
      <alignment horizontal="center" vertical="top"/>
    </xf>
    <xf numFmtId="49" fontId="53" fillId="0" borderId="6" xfId="0" applyNumberFormat="1" applyFont="1" applyFill="1" applyBorder="1" applyAlignment="1">
      <alignment horizontal="center" vertical="top"/>
    </xf>
    <xf numFmtId="49" fontId="53" fillId="0" borderId="7" xfId="0" applyNumberFormat="1" applyFont="1" applyFill="1" applyBorder="1" applyAlignment="1">
      <alignment horizontal="center" vertical="top"/>
    </xf>
    <xf numFmtId="0" fontId="57" fillId="0" borderId="6" xfId="0" applyFont="1" applyFill="1" applyBorder="1" applyAlignment="1">
      <alignment horizontal="left" vertical="top" wrapText="1"/>
    </xf>
    <xf numFmtId="0" fontId="57" fillId="0" borderId="7" xfId="0" applyFont="1" applyFill="1" applyBorder="1" applyAlignment="1">
      <alignment horizontal="left" vertical="top" wrapText="1"/>
    </xf>
    <xf numFmtId="0" fontId="54" fillId="0" borderId="6" xfId="0" applyFont="1" applyFill="1" applyBorder="1" applyAlignment="1">
      <alignment vertical="top" wrapText="1"/>
    </xf>
    <xf numFmtId="0" fontId="54" fillId="0" borderId="7" xfId="0" applyFont="1" applyFill="1" applyBorder="1" applyAlignment="1">
      <alignment vertical="top" wrapText="1"/>
    </xf>
    <xf numFmtId="49" fontId="52" fillId="3" borderId="6" xfId="0" applyNumberFormat="1" applyFont="1" applyFill="1" applyBorder="1" applyAlignment="1">
      <alignment horizontal="center" vertical="top"/>
    </xf>
    <xf numFmtId="49" fontId="52" fillId="3" borderId="7" xfId="0" applyNumberFormat="1" applyFont="1" applyFill="1" applyBorder="1" applyAlignment="1">
      <alignment horizontal="center" vertical="top"/>
    </xf>
    <xf numFmtId="0" fontId="20" fillId="0" borderId="0" xfId="0" applyFont="1" applyAlignment="1">
      <alignment horizontal="center"/>
    </xf>
    <xf numFmtId="49" fontId="32" fillId="0" borderId="0" xfId="0" applyNumberFormat="1" applyFont="1" applyAlignment="1">
      <alignment horizontal="left"/>
    </xf>
    <xf numFmtId="0" fontId="32" fillId="0" borderId="0" xfId="0" applyFont="1" applyAlignment="1">
      <alignment horizontal="left"/>
    </xf>
    <xf numFmtId="0" fontId="36" fillId="0" borderId="0" xfId="0" applyFont="1" applyAlignment="1">
      <alignment horizontal="center"/>
    </xf>
    <xf numFmtId="0" fontId="19" fillId="0" borderId="0" xfId="0" applyFont="1" applyAlignment="1">
      <alignment horizontal="center"/>
    </xf>
    <xf numFmtId="0" fontId="9" fillId="2" borderId="1" xfId="0" applyFont="1" applyFill="1" applyBorder="1" applyAlignment="1">
      <alignment horizontal="center" vertical="top" wrapText="1"/>
    </xf>
    <xf numFmtId="0" fontId="9" fillId="2" borderId="1" xfId="0" applyFont="1" applyFill="1" applyBorder="1" applyAlignment="1">
      <alignment horizontal="left" vertical="top" wrapText="1"/>
    </xf>
    <xf numFmtId="0" fontId="9" fillId="2" borderId="2" xfId="0" applyFont="1" applyFill="1" applyBorder="1" applyAlignment="1">
      <alignment horizontal="center" vertical="top" wrapText="1"/>
    </xf>
    <xf numFmtId="0" fontId="9" fillId="2" borderId="3" xfId="0" applyFont="1" applyFill="1" applyBorder="1" applyAlignment="1">
      <alignment horizontal="center" vertical="top" wrapText="1"/>
    </xf>
    <xf numFmtId="0" fontId="9" fillId="2" borderId="4" xfId="0" applyFont="1" applyFill="1" applyBorder="1" applyAlignment="1">
      <alignment horizontal="center" vertical="top" wrapText="1"/>
    </xf>
    <xf numFmtId="0" fontId="9" fillId="3" borderId="2" xfId="0" applyFont="1" applyFill="1" applyBorder="1" applyAlignment="1">
      <alignment horizontal="center" vertical="top" wrapText="1"/>
    </xf>
    <xf numFmtId="0" fontId="9" fillId="3" borderId="3" xfId="0" applyFont="1" applyFill="1" applyBorder="1" applyAlignment="1">
      <alignment horizontal="center" vertical="top" wrapText="1"/>
    </xf>
    <xf numFmtId="0" fontId="9" fillId="3" borderId="4" xfId="0" applyFont="1" applyFill="1" applyBorder="1" applyAlignment="1">
      <alignment horizontal="center" vertical="top" wrapText="1"/>
    </xf>
    <xf numFmtId="0" fontId="33" fillId="0" borderId="0" xfId="0" applyFont="1" applyAlignment="1">
      <alignment horizontal="center" wrapText="1"/>
    </xf>
    <xf numFmtId="0" fontId="19" fillId="0" borderId="0" xfId="0" applyFont="1" applyAlignment="1">
      <alignment horizontal="center" vertical="top"/>
    </xf>
    <xf numFmtId="0" fontId="9" fillId="2" borderId="6" xfId="0" applyFont="1" applyFill="1" applyBorder="1" applyAlignment="1">
      <alignment horizontal="center" vertical="top" wrapText="1"/>
    </xf>
    <xf numFmtId="0" fontId="9" fillId="2" borderId="7" xfId="0" applyFont="1" applyFill="1" applyBorder="1" applyAlignment="1">
      <alignment horizontal="center" vertical="top" wrapText="1"/>
    </xf>
    <xf numFmtId="0" fontId="13" fillId="0" borderId="2" xfId="0" applyFont="1" applyFill="1" applyBorder="1" applyAlignment="1">
      <alignment horizontal="center" vertical="top" wrapText="1"/>
    </xf>
    <xf numFmtId="0" fontId="13" fillId="0" borderId="3" xfId="0" applyFont="1" applyFill="1" applyBorder="1" applyAlignment="1">
      <alignment horizontal="center" vertical="top" wrapText="1"/>
    </xf>
    <xf numFmtId="0" fontId="13" fillId="0" borderId="4" xfId="0" applyFont="1" applyFill="1" applyBorder="1" applyAlignment="1">
      <alignment horizontal="center" vertical="top" wrapText="1"/>
    </xf>
    <xf numFmtId="0" fontId="0" fillId="0" borderId="0" xfId="0" applyBorder="1" applyAlignment="1">
      <alignment horizontal="center" vertical="center"/>
    </xf>
    <xf numFmtId="0" fontId="13" fillId="0" borderId="1" xfId="0" applyFont="1" applyBorder="1" applyAlignment="1">
      <alignment horizontal="center" vertical="top" wrapText="1"/>
    </xf>
    <xf numFmtId="0" fontId="13" fillId="0" borderId="1" xfId="0" applyFont="1" applyFill="1" applyBorder="1" applyAlignment="1">
      <alignment horizontal="center" vertical="top" wrapText="1"/>
    </xf>
    <xf numFmtId="0" fontId="28" fillId="0" borderId="0" xfId="0" applyFont="1" applyAlignment="1">
      <alignment horizontal="center" vertical="top"/>
    </xf>
    <xf numFmtId="0" fontId="12" fillId="0" borderId="0" xfId="0" applyFont="1" applyAlignment="1">
      <alignment horizontal="center" wrapText="1"/>
    </xf>
    <xf numFmtId="0" fontId="38" fillId="0" borderId="0" xfId="0" applyFont="1" applyAlignment="1">
      <alignment horizontal="left"/>
    </xf>
    <xf numFmtId="0" fontId="36" fillId="0" borderId="0" xfId="0" applyFont="1" applyFill="1" applyAlignment="1">
      <alignment horizontal="center"/>
    </xf>
    <xf numFmtId="49" fontId="3" fillId="0" borderId="2"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49" fontId="3" fillId="0" borderId="4" xfId="0" applyNumberFormat="1" applyFont="1" applyFill="1" applyBorder="1" applyAlignment="1">
      <alignment horizontal="left" vertical="top"/>
    </xf>
    <xf numFmtId="0" fontId="39" fillId="0" borderId="0" xfId="0" applyFont="1" applyFill="1" applyAlignment="1">
      <alignment horizontal="center" vertical="top"/>
    </xf>
    <xf numFmtId="0" fontId="3" fillId="0" borderId="6" xfId="0" applyFont="1" applyFill="1" applyBorder="1" applyAlignment="1">
      <alignment horizontal="left" vertical="top" wrapText="1"/>
    </xf>
    <xf numFmtId="0" fontId="3" fillId="0" borderId="8" xfId="0" applyFont="1" applyFill="1" applyBorder="1" applyAlignment="1">
      <alignment horizontal="left" vertical="top" wrapText="1"/>
    </xf>
    <xf numFmtId="0" fontId="30" fillId="0" borderId="6" xfId="0" applyFont="1" applyFill="1" applyBorder="1" applyAlignment="1">
      <alignment horizontal="left" vertical="top" wrapText="1"/>
    </xf>
    <xf numFmtId="0" fontId="30" fillId="0" borderId="8" xfId="0" applyFont="1" applyFill="1" applyBorder="1" applyAlignment="1">
      <alignment horizontal="left" vertical="top" wrapText="1"/>
    </xf>
    <xf numFmtId="0" fontId="30" fillId="0" borderId="7" xfId="0" applyFont="1" applyFill="1" applyBorder="1" applyAlignment="1">
      <alignment horizontal="left" vertical="top" wrapText="1"/>
    </xf>
    <xf numFmtId="0" fontId="2" fillId="0" borderId="1" xfId="0" applyFont="1" applyFill="1" applyBorder="1" applyAlignment="1">
      <alignment horizontal="center" vertical="top"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7" fillId="0" borderId="6" xfId="0" applyFont="1" applyFill="1" applyBorder="1" applyAlignment="1">
      <alignment horizontal="center" vertical="top" wrapText="1"/>
    </xf>
    <xf numFmtId="0" fontId="7" fillId="0" borderId="8" xfId="0" applyFont="1" applyFill="1" applyBorder="1" applyAlignment="1">
      <alignment horizontal="center" vertical="top" wrapText="1"/>
    </xf>
    <xf numFmtId="0" fontId="7" fillId="0" borderId="7" xfId="0" applyFont="1" applyFill="1" applyBorder="1" applyAlignment="1">
      <alignment horizontal="center" vertical="top" wrapText="1"/>
    </xf>
    <xf numFmtId="49" fontId="3" fillId="0" borderId="6" xfId="0" applyNumberFormat="1" applyFont="1" applyFill="1" applyBorder="1" applyAlignment="1">
      <alignment horizontal="center" vertical="top"/>
    </xf>
    <xf numFmtId="49" fontId="3" fillId="0" borderId="8" xfId="0" applyNumberFormat="1" applyFont="1" applyFill="1" applyBorder="1" applyAlignment="1">
      <alignment horizontal="center" vertical="top"/>
    </xf>
    <xf numFmtId="0" fontId="3" fillId="0" borderId="6" xfId="0" applyFont="1" applyFill="1" applyBorder="1" applyAlignment="1">
      <alignment horizontal="center" vertical="top"/>
    </xf>
    <xf numFmtId="0" fontId="3" fillId="0" borderId="8" xfId="0" applyFont="1" applyFill="1" applyBorder="1" applyAlignment="1">
      <alignment horizontal="center" vertical="top"/>
    </xf>
    <xf numFmtId="0" fontId="7" fillId="0" borderId="6" xfId="0" applyFont="1" applyFill="1" applyBorder="1" applyAlignment="1">
      <alignment horizontal="center" vertical="top"/>
    </xf>
    <xf numFmtId="0" fontId="7" fillId="0" borderId="8" xfId="0" applyFont="1" applyFill="1" applyBorder="1" applyAlignment="1">
      <alignment horizontal="center" vertical="top"/>
    </xf>
    <xf numFmtId="49" fontId="30" fillId="0" borderId="6" xfId="0" applyNumberFormat="1" applyFont="1" applyFill="1" applyBorder="1" applyAlignment="1">
      <alignment horizontal="center" vertical="top"/>
    </xf>
    <xf numFmtId="49" fontId="30" fillId="0" borderId="8" xfId="0" applyNumberFormat="1" applyFont="1" applyFill="1" applyBorder="1" applyAlignment="1">
      <alignment horizontal="center" vertical="top"/>
    </xf>
    <xf numFmtId="49" fontId="30" fillId="0" borderId="7" xfId="0" applyNumberFormat="1" applyFont="1" applyFill="1" applyBorder="1" applyAlignment="1">
      <alignment horizontal="center" vertical="top"/>
    </xf>
    <xf numFmtId="0" fontId="38" fillId="0" borderId="0" xfId="0" applyFont="1" applyFill="1" applyAlignment="1">
      <alignment horizontal="left"/>
    </xf>
    <xf numFmtId="0" fontId="38" fillId="0" borderId="0" xfId="0" applyFont="1" applyFill="1" applyAlignment="1">
      <alignment horizontal="center"/>
    </xf>
    <xf numFmtId="0" fontId="38" fillId="0" borderId="0" xfId="0" applyFont="1" applyFill="1" applyAlignment="1">
      <alignment horizontal="center" wrapText="1"/>
    </xf>
    <xf numFmtId="0" fontId="12" fillId="0" borderId="0" xfId="0" applyFont="1" applyFill="1" applyAlignment="1">
      <alignment horizontal="center" vertical="top" wrapText="1"/>
    </xf>
    <xf numFmtId="49" fontId="10" fillId="0" borderId="6" xfId="0" applyNumberFormat="1" applyFont="1" applyFill="1" applyBorder="1" applyAlignment="1">
      <alignment horizontal="center" vertical="top"/>
    </xf>
    <xf numFmtId="49" fontId="10" fillId="0" borderId="8" xfId="0" applyNumberFormat="1" applyFont="1" applyFill="1" applyBorder="1" applyAlignment="1">
      <alignment horizontal="center" vertical="top"/>
    </xf>
    <xf numFmtId="49" fontId="10" fillId="0" borderId="7" xfId="0" applyNumberFormat="1" applyFont="1" applyFill="1" applyBorder="1" applyAlignment="1">
      <alignment horizontal="center" vertical="top"/>
    </xf>
    <xf numFmtId="49" fontId="7" fillId="0" borderId="6" xfId="0" applyNumberFormat="1" applyFont="1" applyFill="1" applyBorder="1" applyAlignment="1">
      <alignment horizontal="center" vertical="top"/>
    </xf>
    <xf numFmtId="49" fontId="7" fillId="0" borderId="8" xfId="0" applyNumberFormat="1" applyFont="1" applyFill="1" applyBorder="1" applyAlignment="1">
      <alignment horizontal="center" vertical="top"/>
    </xf>
    <xf numFmtId="49" fontId="3" fillId="0" borderId="7" xfId="0" applyNumberFormat="1" applyFont="1" applyFill="1" applyBorder="1" applyAlignment="1">
      <alignment horizontal="center" vertical="top"/>
    </xf>
    <xf numFmtId="0" fontId="7" fillId="0" borderId="6" xfId="0" applyFont="1" applyFill="1" applyBorder="1" applyAlignment="1">
      <alignment horizontal="left" vertical="top" wrapText="1"/>
    </xf>
    <xf numFmtId="0" fontId="7" fillId="0" borderId="8"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7" xfId="0" applyFont="1" applyFill="1" applyBorder="1" applyAlignment="1">
      <alignment horizontal="left" vertical="top" wrapText="1"/>
    </xf>
    <xf numFmtId="0" fontId="7" fillId="0" borderId="7" xfId="0" applyFont="1" applyFill="1" applyBorder="1" applyAlignment="1">
      <alignment horizontal="left" vertical="top" wrapText="1"/>
    </xf>
    <xf numFmtId="49" fontId="7" fillId="0" borderId="7" xfId="0" applyNumberFormat="1" applyFont="1" applyFill="1" applyBorder="1" applyAlignment="1">
      <alignment horizontal="center" vertical="top"/>
    </xf>
    <xf numFmtId="0" fontId="7" fillId="0" borderId="6" xfId="0" applyFont="1" applyFill="1" applyBorder="1" applyAlignment="1">
      <alignment vertical="top" wrapText="1"/>
    </xf>
    <xf numFmtId="0" fontId="0" fillId="0" borderId="7" xfId="0" applyBorder="1" applyAlignment="1">
      <alignment vertical="top" wrapText="1"/>
    </xf>
    <xf numFmtId="0" fontId="0" fillId="0" borderId="7" xfId="0" applyBorder="1" applyAlignment="1">
      <alignment horizontal="center" vertical="top"/>
    </xf>
    <xf numFmtId="0" fontId="10" fillId="0" borderId="6" xfId="0" applyFont="1" applyFill="1" applyBorder="1" applyAlignment="1">
      <alignment horizontal="center" vertical="top" wrapText="1"/>
    </xf>
    <xf numFmtId="0" fontId="10" fillId="0" borderId="8" xfId="0" applyFont="1" applyFill="1" applyBorder="1" applyAlignment="1">
      <alignment horizontal="center" vertical="top" wrapText="1"/>
    </xf>
    <xf numFmtId="0" fontId="10" fillId="0" borderId="7" xfId="0" applyFont="1" applyFill="1" applyBorder="1" applyAlignment="1">
      <alignment horizontal="center" vertical="top" wrapText="1"/>
    </xf>
    <xf numFmtId="0" fontId="0" fillId="0" borderId="7" xfId="0" applyBorder="1" applyAlignment="1">
      <alignment horizontal="center" vertical="top" wrapText="1"/>
    </xf>
    <xf numFmtId="0" fontId="12" fillId="0" borderId="0" xfId="0" applyFont="1" applyFill="1" applyAlignment="1">
      <alignment horizontal="center" vertical="center" wrapText="1"/>
    </xf>
    <xf numFmtId="0" fontId="37" fillId="0" borderId="0" xfId="0" applyFont="1" applyFill="1" applyAlignment="1">
      <alignment horizontal="left"/>
    </xf>
    <xf numFmtId="0" fontId="36" fillId="0" borderId="0" xfId="0" applyFont="1" applyFill="1" applyAlignment="1">
      <alignment horizontal="left"/>
    </xf>
    <xf numFmtId="0" fontId="40" fillId="0" borderId="0" xfId="0" applyFont="1" applyFill="1" applyAlignment="1">
      <alignment horizontal="center" vertical="top"/>
    </xf>
    <xf numFmtId="0" fontId="37" fillId="0" borderId="0" xfId="0" applyFont="1" applyFill="1" applyAlignment="1"/>
    <xf numFmtId="0" fontId="6" fillId="0" borderId="9" xfId="0" applyFont="1" applyFill="1" applyBorder="1" applyAlignment="1">
      <alignment horizontal="center" vertical="top" wrapText="1"/>
    </xf>
    <xf numFmtId="0" fontId="6" fillId="0" borderId="10" xfId="0" applyFont="1" applyFill="1" applyBorder="1" applyAlignment="1">
      <alignment horizontal="center" vertical="top" wrapText="1"/>
    </xf>
    <xf numFmtId="0" fontId="3" fillId="0" borderId="1" xfId="0" applyFont="1" applyFill="1" applyBorder="1" applyAlignment="1">
      <alignment horizontal="center" vertical="top" wrapText="1"/>
    </xf>
    <xf numFmtId="0" fontId="2" fillId="0" borderId="6" xfId="0" applyFont="1" applyFill="1" applyBorder="1" applyAlignment="1">
      <alignment horizontal="center" vertical="top" wrapText="1"/>
    </xf>
    <xf numFmtId="165" fontId="3" fillId="0" borderId="1" xfId="0"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49" fontId="2" fillId="0" borderId="6" xfId="0" applyNumberFormat="1" applyFont="1" applyFill="1" applyBorder="1" applyAlignment="1">
      <alignment horizontal="center" vertical="top"/>
    </xf>
    <xf numFmtId="49" fontId="2" fillId="0" borderId="8" xfId="0" applyNumberFormat="1" applyFont="1" applyFill="1" applyBorder="1" applyAlignment="1">
      <alignment horizontal="center" vertical="top"/>
    </xf>
    <xf numFmtId="49" fontId="2" fillId="0" borderId="7" xfId="0" applyNumberFormat="1" applyFont="1" applyFill="1" applyBorder="1" applyAlignment="1">
      <alignment horizontal="center" vertical="top"/>
    </xf>
    <xf numFmtId="0" fontId="2" fillId="0" borderId="6"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7" xfId="0" applyFont="1" applyFill="1" applyBorder="1" applyAlignment="1">
      <alignment horizontal="left" vertical="top" wrapText="1"/>
    </xf>
    <xf numFmtId="49" fontId="0" fillId="0" borderId="6" xfId="0" applyNumberFormat="1" applyFill="1" applyBorder="1" applyAlignment="1">
      <alignment horizontal="center" vertical="top"/>
    </xf>
    <xf numFmtId="49" fontId="0" fillId="0" borderId="8" xfId="0" applyNumberFormat="1" applyFill="1" applyBorder="1" applyAlignment="1">
      <alignment horizontal="center" vertical="top"/>
    </xf>
    <xf numFmtId="49" fontId="0" fillId="0" borderId="7" xfId="0" applyNumberFormat="1" applyFill="1" applyBorder="1" applyAlignment="1">
      <alignment horizontal="center" vertical="top"/>
    </xf>
    <xf numFmtId="49" fontId="7" fillId="0" borderId="6" xfId="0" applyNumberFormat="1" applyFont="1" applyFill="1" applyBorder="1" applyAlignment="1">
      <alignment horizontal="center" vertical="top" wrapText="1"/>
    </xf>
    <xf numFmtId="49" fontId="7" fillId="0" borderId="8" xfId="0" applyNumberFormat="1" applyFont="1" applyFill="1" applyBorder="1" applyAlignment="1">
      <alignment horizontal="center" vertical="top" wrapText="1"/>
    </xf>
    <xf numFmtId="0" fontId="42" fillId="0" borderId="6" xfId="0" applyFont="1" applyFill="1" applyBorder="1" applyAlignment="1">
      <alignment horizontal="center" vertical="top" wrapText="1"/>
    </xf>
    <xf numFmtId="0" fontId="42" fillId="0" borderId="8" xfId="0" applyFont="1" applyFill="1" applyBorder="1" applyAlignment="1">
      <alignment horizontal="center" vertical="top" wrapText="1"/>
    </xf>
    <xf numFmtId="0" fontId="42" fillId="0" borderId="7" xfId="0" applyFont="1" applyFill="1" applyBorder="1" applyAlignment="1">
      <alignment horizontal="center" vertical="top" wrapText="1"/>
    </xf>
    <xf numFmtId="49" fontId="7" fillId="0" borderId="7" xfId="0" applyNumberFormat="1" applyFont="1" applyFill="1" applyBorder="1" applyAlignment="1">
      <alignment horizontal="center" vertical="top" wrapText="1"/>
    </xf>
    <xf numFmtId="0" fontId="31" fillId="0" borderId="9" xfId="0" applyFont="1" applyFill="1" applyBorder="1" applyAlignment="1">
      <alignment horizontal="center" vertical="top" wrapText="1"/>
    </xf>
    <xf numFmtId="0" fontId="31" fillId="0" borderId="11" xfId="0" applyFont="1" applyFill="1" applyBorder="1" applyAlignment="1">
      <alignment horizontal="center" vertical="top" wrapText="1"/>
    </xf>
    <xf numFmtId="0" fontId="31" fillId="0" borderId="12" xfId="0" applyFont="1" applyFill="1" applyBorder="1" applyAlignment="1">
      <alignment horizontal="center" vertical="top" wrapText="1"/>
    </xf>
    <xf numFmtId="0" fontId="42" fillId="0" borderId="9" xfId="0" applyFont="1" applyFill="1" applyBorder="1" applyAlignment="1">
      <alignment horizontal="center" vertical="top" wrapText="1"/>
    </xf>
    <xf numFmtId="0" fontId="42" fillId="0" borderId="11" xfId="0" applyFont="1" applyFill="1" applyBorder="1" applyAlignment="1">
      <alignment horizontal="center" vertical="top" wrapText="1"/>
    </xf>
    <xf numFmtId="0" fontId="42" fillId="0" borderId="12" xfId="0" applyFont="1" applyFill="1" applyBorder="1" applyAlignment="1">
      <alignment horizontal="center" vertical="top" wrapText="1"/>
    </xf>
    <xf numFmtId="0" fontId="31" fillId="0" borderId="1" xfId="0" applyFont="1" applyFill="1" applyBorder="1" applyAlignment="1">
      <alignment horizontal="center" wrapText="1"/>
    </xf>
    <xf numFmtId="0" fontId="31" fillId="0" borderId="2" xfId="0" applyFont="1" applyFill="1" applyBorder="1" applyAlignment="1">
      <alignment horizontal="center" wrapText="1"/>
    </xf>
    <xf numFmtId="0" fontId="31" fillId="0" borderId="4" xfId="0" applyFont="1" applyFill="1" applyBorder="1" applyAlignment="1">
      <alignment horizontal="center" wrapText="1"/>
    </xf>
    <xf numFmtId="0" fontId="31" fillId="0" borderId="2" xfId="0" applyFont="1" applyFill="1" applyBorder="1" applyAlignment="1">
      <alignment horizontal="center" vertical="top" wrapText="1"/>
    </xf>
    <xf numFmtId="0" fontId="31" fillId="0" borderId="4" xfId="0" applyFont="1" applyFill="1" applyBorder="1" applyAlignment="1">
      <alignment horizontal="center" vertical="top" wrapText="1"/>
    </xf>
    <xf numFmtId="0" fontId="31" fillId="0" borderId="3" xfId="0" applyFont="1" applyFill="1" applyBorder="1" applyAlignment="1">
      <alignment horizontal="center" vertical="top" wrapText="1"/>
    </xf>
    <xf numFmtId="0" fontId="42" fillId="0" borderId="10" xfId="0" applyFont="1" applyFill="1" applyBorder="1" applyAlignment="1">
      <alignment horizontal="center" vertical="top" wrapText="1"/>
    </xf>
    <xf numFmtId="0" fontId="42" fillId="0" borderId="15" xfId="0" applyFont="1" applyFill="1" applyBorder="1" applyAlignment="1">
      <alignment horizontal="center" vertical="top" wrapText="1"/>
    </xf>
    <xf numFmtId="0" fontId="42" fillId="0" borderId="13" xfId="0" applyFont="1" applyFill="1" applyBorder="1" applyAlignment="1">
      <alignment horizontal="center" vertical="top" wrapText="1"/>
    </xf>
    <xf numFmtId="0" fontId="31" fillId="0" borderId="6" xfId="0" applyFont="1" applyFill="1" applyBorder="1" applyAlignment="1">
      <alignment horizontal="center" vertical="top" wrapText="1"/>
    </xf>
    <xf numFmtId="0" fontId="31" fillId="0" borderId="8" xfId="0" applyFont="1" applyFill="1" applyBorder="1" applyAlignment="1">
      <alignment horizontal="center" vertical="top" wrapText="1"/>
    </xf>
    <xf numFmtId="0" fontId="31" fillId="0" borderId="7" xfId="0" applyFont="1" applyFill="1" applyBorder="1" applyAlignment="1">
      <alignment horizontal="center" vertical="top" wrapText="1"/>
    </xf>
    <xf numFmtId="49" fontId="3" fillId="0" borderId="6" xfId="0" applyNumberFormat="1" applyFont="1" applyFill="1" applyBorder="1" applyAlignment="1">
      <alignment horizontal="center" vertical="top" wrapText="1"/>
    </xf>
    <xf numFmtId="49" fontId="3" fillId="0" borderId="8" xfId="0" applyNumberFormat="1" applyFont="1" applyFill="1" applyBorder="1" applyAlignment="1">
      <alignment horizontal="center" vertical="top" wrapText="1"/>
    </xf>
    <xf numFmtId="49" fontId="3" fillId="0" borderId="7" xfId="0" applyNumberFormat="1" applyFont="1" applyFill="1" applyBorder="1" applyAlignment="1">
      <alignment horizontal="center" vertical="top" wrapText="1"/>
    </xf>
    <xf numFmtId="0" fontId="42" fillId="0" borderId="1" xfId="0" applyFont="1" applyFill="1" applyBorder="1" applyAlignment="1">
      <alignment horizontal="center" vertical="top" wrapText="1"/>
    </xf>
    <xf numFmtId="0" fontId="0" fillId="0" borderId="7" xfId="0" applyFill="1" applyBorder="1" applyAlignment="1">
      <alignment horizontal="center" vertical="top" wrapText="1"/>
    </xf>
    <xf numFmtId="0" fontId="0" fillId="0" borderId="7" xfId="0" applyFill="1" applyBorder="1" applyAlignment="1">
      <alignment horizontal="center" vertical="top"/>
    </xf>
    <xf numFmtId="0" fontId="16" fillId="0" borderId="0" xfId="0" applyFont="1" applyFill="1" applyAlignment="1">
      <alignment horizontal="center" vertical="center"/>
    </xf>
    <xf numFmtId="0" fontId="45" fillId="0" borderId="1" xfId="0" applyFont="1" applyFill="1" applyBorder="1" applyAlignment="1">
      <alignment horizontal="center" vertical="center" wrapText="1"/>
    </xf>
    <xf numFmtId="0" fontId="16" fillId="0" borderId="0" xfId="0" applyFont="1" applyFill="1" applyAlignment="1">
      <alignment horizontal="center"/>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7" fillId="0" borderId="2"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7" xfId="0" applyFont="1" applyFill="1" applyBorder="1" applyAlignment="1">
      <alignment horizontal="center" vertical="top"/>
    </xf>
    <xf numFmtId="0" fontId="38" fillId="0" borderId="1" xfId="0" applyFont="1" applyFill="1" applyBorder="1" applyAlignment="1">
      <alignment horizontal="center" vertical="top" wrapText="1"/>
    </xf>
    <xf numFmtId="0" fontId="38" fillId="0" borderId="2" xfId="0" applyFont="1" applyFill="1" applyBorder="1" applyAlignment="1">
      <alignment horizontal="center" vertical="top" wrapText="1"/>
    </xf>
    <xf numFmtId="0" fontId="38" fillId="0" borderId="3" xfId="0" applyFont="1" applyFill="1" applyBorder="1" applyAlignment="1">
      <alignment horizontal="center" vertical="top" wrapText="1"/>
    </xf>
    <xf numFmtId="0" fontId="0" fillId="0" borderId="4" xfId="0" applyBorder="1" applyAlignment="1">
      <alignment horizontal="center" vertical="top" wrapText="1"/>
    </xf>
    <xf numFmtId="0" fontId="5" fillId="0" borderId="0" xfId="0" applyFont="1" applyFill="1" applyAlignment="1">
      <alignment horizontal="center" vertical="top"/>
    </xf>
    <xf numFmtId="0" fontId="50" fillId="0" borderId="0" xfId="0" applyFont="1" applyFill="1" applyAlignment="1">
      <alignment horizontal="center" wrapText="1"/>
    </xf>
    <xf numFmtId="0" fontId="5" fillId="0" borderId="0" xfId="0" applyFont="1" applyFill="1" applyAlignment="1">
      <alignment horizontal="center" vertical="top" wrapText="1"/>
    </xf>
    <xf numFmtId="0" fontId="0" fillId="0" borderId="0" xfId="0" applyAlignment="1">
      <alignment horizontal="center"/>
    </xf>
    <xf numFmtId="49" fontId="38" fillId="0" borderId="0" xfId="0" applyNumberFormat="1" applyFont="1" applyFill="1" applyAlignment="1">
      <alignment horizontal="center" wrapText="1"/>
    </xf>
    <xf numFmtId="49" fontId="38" fillId="0" borderId="0" xfId="0" applyNumberFormat="1" applyFont="1" applyFill="1" applyAlignment="1">
      <alignment horizontal="center"/>
    </xf>
    <xf numFmtId="0" fontId="38" fillId="0" borderId="0" xfId="0" applyFont="1" applyAlignment="1">
      <alignment horizontal="center" vertical="center"/>
    </xf>
    <xf numFmtId="49" fontId="38" fillId="0" borderId="0" xfId="0" applyNumberFormat="1" applyFont="1" applyFill="1" applyAlignment="1">
      <alignment horizontal="center" vertical="top"/>
    </xf>
    <xf numFmtId="4" fontId="13" fillId="0" borderId="6" xfId="0" applyNumberFormat="1" applyFont="1" applyBorder="1" applyAlignment="1">
      <alignment horizontal="center" vertical="center"/>
    </xf>
    <xf numFmtId="4" fontId="13" fillId="0" borderId="7" xfId="0" applyNumberFormat="1" applyFont="1" applyBorder="1" applyAlignment="1">
      <alignment horizontal="center" vertical="center"/>
    </xf>
    <xf numFmtId="0" fontId="13" fillId="0" borderId="6" xfId="0" applyFont="1" applyBorder="1" applyAlignment="1">
      <alignment vertical="top" wrapText="1"/>
    </xf>
    <xf numFmtId="0" fontId="13" fillId="0" borderId="7" xfId="0" applyFont="1" applyBorder="1" applyAlignment="1">
      <alignment vertical="top"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4" fontId="13" fillId="0" borderId="6" xfId="0" applyNumberFormat="1" applyFont="1" applyBorder="1" applyAlignment="1">
      <alignment horizontal="center" vertical="center" wrapText="1"/>
    </xf>
    <xf numFmtId="4" fontId="13" fillId="0" borderId="7" xfId="0" applyNumberFormat="1" applyFont="1" applyBorder="1" applyAlignment="1">
      <alignment horizontal="center" vertical="center" wrapText="1"/>
    </xf>
    <xf numFmtId="0" fontId="13" fillId="0" borderId="1" xfId="0" applyFont="1" applyBorder="1" applyAlignment="1">
      <alignment horizontal="center" vertical="center" wrapText="1"/>
    </xf>
    <xf numFmtId="49" fontId="32" fillId="0" borderId="0" xfId="0" applyNumberFormat="1" applyFont="1" applyFill="1" applyAlignment="1">
      <alignment horizontal="left" wrapText="1"/>
    </xf>
    <xf numFmtId="0" fontId="33" fillId="0" borderId="0" xfId="0" applyFont="1" applyFill="1" applyAlignment="1">
      <alignment horizontal="center" vertical="center" wrapText="1"/>
    </xf>
    <xf numFmtId="49" fontId="32" fillId="0" borderId="0" xfId="0" applyNumberFormat="1" applyFont="1" applyFill="1" applyAlignment="1">
      <alignment horizontal="left" vertical="top"/>
    </xf>
    <xf numFmtId="0" fontId="52" fillId="0" borderId="9" xfId="0" applyFont="1" applyFill="1" applyBorder="1" applyAlignment="1">
      <alignment horizontal="center" vertical="center" wrapText="1"/>
    </xf>
    <xf numFmtId="0" fontId="52" fillId="0" borderId="5" xfId="0" applyFont="1" applyFill="1" applyBorder="1" applyAlignment="1">
      <alignment horizontal="center" vertical="center" wrapText="1"/>
    </xf>
    <xf numFmtId="0" fontId="52" fillId="0" borderId="10" xfId="0" applyFont="1" applyFill="1" applyBorder="1" applyAlignment="1">
      <alignment horizontal="center" vertical="center" wrapText="1"/>
    </xf>
    <xf numFmtId="49" fontId="52" fillId="0" borderId="1" xfId="0" applyNumberFormat="1" applyFont="1" applyFill="1" applyBorder="1" applyAlignment="1">
      <alignment horizontal="center" vertical="center" wrapText="1"/>
    </xf>
    <xf numFmtId="49" fontId="52" fillId="0" borderId="4" xfId="0" applyNumberFormat="1" applyFont="1" applyFill="1" applyBorder="1" applyAlignment="1">
      <alignment horizontal="center" vertical="center" wrapText="1"/>
    </xf>
    <xf numFmtId="0" fontId="32" fillId="0" borderId="0" xfId="0" applyFont="1" applyFill="1" applyBorder="1" applyAlignment="1">
      <alignment horizontal="center" wrapText="1"/>
    </xf>
    <xf numFmtId="0" fontId="33" fillId="0" borderId="0" xfId="0" applyFont="1" applyFill="1" applyBorder="1" applyAlignment="1">
      <alignment horizontal="center"/>
    </xf>
    <xf numFmtId="49" fontId="32" fillId="0" borderId="0" xfId="0" applyNumberFormat="1" applyFont="1" applyFill="1" applyBorder="1" applyAlignment="1">
      <alignment horizontal="center" wrapText="1"/>
    </xf>
    <xf numFmtId="0" fontId="26" fillId="0" borderId="0" xfId="0" applyFont="1" applyFill="1" applyBorder="1" applyAlignment="1">
      <alignment horizontal="center" vertical="top"/>
    </xf>
    <xf numFmtId="0" fontId="52" fillId="0" borderId="1"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2" fillId="0" borderId="1" xfId="0" applyFont="1" applyFill="1" applyBorder="1" applyAlignment="1">
      <alignment horizontal="center" vertical="top"/>
    </xf>
    <xf numFmtId="39" fontId="46" fillId="0" borderId="1" xfId="0"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6" tint="0.39997558519241921"/>
  </sheetPr>
  <dimension ref="A1:U98"/>
  <sheetViews>
    <sheetView view="pageBreakPreview" zoomScale="35" zoomScaleNormal="90" zoomScaleSheetLayoutView="35" zoomScalePageLayoutView="80" workbookViewId="0">
      <selection activeCell="J52" sqref="J52"/>
    </sheetView>
  </sheetViews>
  <sheetFormatPr defaultColWidth="9.140625" defaultRowHeight="15.75"/>
  <cols>
    <col min="1" max="1" width="7.85546875" style="203" customWidth="1"/>
    <col min="2" max="2" width="8" style="203" customWidth="1"/>
    <col min="3" max="3" width="5.5703125" style="153" customWidth="1"/>
    <col min="4" max="4" width="42.42578125" style="55" customWidth="1"/>
    <col min="5" max="5" width="43.7109375" style="55" customWidth="1"/>
    <col min="6" max="6" width="11.28515625" style="152" customWidth="1"/>
    <col min="7" max="8" width="12.42578125" style="55" hidden="1" customWidth="1"/>
    <col min="9" max="9" width="8.140625" style="55" customWidth="1"/>
    <col min="10" max="10" width="9.42578125" style="55" customWidth="1"/>
    <col min="11" max="11" width="8.140625" style="55" customWidth="1"/>
    <col min="12" max="12" width="9.42578125" style="55" customWidth="1"/>
    <col min="13" max="13" width="9.28515625" style="55" customWidth="1"/>
    <col min="14" max="14" width="8.85546875" style="55" customWidth="1"/>
    <col min="15" max="15" width="9.28515625" style="55" customWidth="1"/>
    <col min="16" max="16" width="9.140625" style="153" customWidth="1"/>
    <col min="17" max="17" width="9.140625" style="153"/>
    <col min="18" max="18" width="9.28515625" style="153" customWidth="1"/>
    <col min="19" max="16384" width="9.140625" style="55"/>
  </cols>
  <sheetData>
    <row r="1" spans="1:21" ht="18.75">
      <c r="N1" s="460" t="s">
        <v>19</v>
      </c>
      <c r="O1" s="460"/>
      <c r="P1" s="460"/>
      <c r="Q1" s="362"/>
      <c r="R1" s="362"/>
      <c r="S1" s="362"/>
      <c r="T1" s="362"/>
      <c r="U1" s="362"/>
    </row>
    <row r="2" spans="1:21" ht="18.75">
      <c r="N2" s="362"/>
      <c r="O2" s="362" t="s">
        <v>431</v>
      </c>
      <c r="P2" s="362"/>
      <c r="Q2" s="362"/>
      <c r="R2" s="362"/>
      <c r="S2" s="362"/>
      <c r="T2" s="362"/>
      <c r="U2" s="362"/>
    </row>
    <row r="3" spans="1:21" ht="18.75">
      <c r="N3" s="279" t="s">
        <v>432</v>
      </c>
      <c r="O3" s="104"/>
      <c r="P3" s="362"/>
      <c r="Q3" s="362"/>
      <c r="R3" s="362"/>
      <c r="S3" s="362"/>
      <c r="T3" s="362"/>
      <c r="U3" s="362"/>
    </row>
    <row r="4" spans="1:21" ht="18.75">
      <c r="N4" s="280"/>
      <c r="O4" s="425" t="s">
        <v>617</v>
      </c>
      <c r="P4" s="362"/>
      <c r="Q4" s="362"/>
      <c r="R4" s="362"/>
      <c r="S4" s="362"/>
      <c r="T4" s="362"/>
      <c r="U4" s="362"/>
    </row>
    <row r="5" spans="1:21" ht="27.75" customHeight="1">
      <c r="O5" s="280"/>
    </row>
    <row r="6" spans="1:21" ht="21" customHeight="1">
      <c r="A6" s="146"/>
      <c r="B6" s="146"/>
      <c r="C6" s="379"/>
      <c r="D6" s="379"/>
      <c r="E6" s="379"/>
      <c r="F6" s="147"/>
      <c r="K6" s="362"/>
      <c r="L6" s="362"/>
      <c r="M6" s="123"/>
      <c r="N6" s="123"/>
      <c r="O6" s="362" t="s">
        <v>434</v>
      </c>
    </row>
    <row r="7" spans="1:21" ht="17.25" customHeight="1">
      <c r="A7" s="146"/>
      <c r="B7" s="146"/>
      <c r="C7" s="379"/>
      <c r="D7" s="379"/>
      <c r="E7" s="379"/>
      <c r="F7" s="147"/>
      <c r="H7" s="56"/>
      <c r="I7" s="56"/>
      <c r="K7" s="362"/>
      <c r="L7" s="362"/>
      <c r="M7" s="381"/>
      <c r="N7" s="381"/>
      <c r="O7" s="362" t="s">
        <v>172</v>
      </c>
    </row>
    <row r="8" spans="1:21" ht="16.5" customHeight="1">
      <c r="A8" s="146"/>
      <c r="B8" s="146"/>
      <c r="C8" s="379"/>
      <c r="D8" s="379"/>
      <c r="E8" s="379"/>
      <c r="F8" s="147"/>
      <c r="K8" s="153"/>
      <c r="L8" s="153"/>
      <c r="M8" s="153"/>
      <c r="N8" s="153"/>
      <c r="O8" s="362" t="s">
        <v>184</v>
      </c>
    </row>
    <row r="9" spans="1:21" ht="20.25" customHeight="1">
      <c r="A9" s="146"/>
      <c r="B9" s="146"/>
      <c r="C9" s="379"/>
      <c r="D9" s="379"/>
      <c r="E9" s="379"/>
      <c r="F9" s="147"/>
      <c r="J9" s="153"/>
      <c r="K9" s="153"/>
      <c r="L9" s="153"/>
      <c r="M9" s="153"/>
      <c r="N9" s="153"/>
      <c r="O9" s="153"/>
    </row>
    <row r="10" spans="1:21" ht="20.25" customHeight="1">
      <c r="A10" s="146"/>
      <c r="B10" s="146"/>
      <c r="C10" s="379"/>
      <c r="D10" s="379"/>
      <c r="E10" s="379" t="s">
        <v>440</v>
      </c>
      <c r="F10" s="147"/>
      <c r="J10" s="153"/>
      <c r="K10" s="153"/>
      <c r="L10" s="153"/>
      <c r="M10" s="153"/>
      <c r="N10" s="153"/>
      <c r="O10" s="153"/>
    </row>
    <row r="11" spans="1:21" ht="18.75">
      <c r="A11" s="464" t="s">
        <v>439</v>
      </c>
      <c r="B11" s="464"/>
      <c r="C11" s="464"/>
      <c r="D11" s="464"/>
      <c r="E11" s="464"/>
      <c r="F11" s="464"/>
      <c r="G11" s="464"/>
      <c r="H11" s="464"/>
      <c r="I11" s="464"/>
      <c r="J11" s="464"/>
      <c r="K11" s="464"/>
      <c r="L11" s="464"/>
      <c r="M11" s="464"/>
      <c r="N11" s="464"/>
      <c r="O11" s="464"/>
    </row>
    <row r="12" spans="1:21">
      <c r="A12" s="146"/>
      <c r="B12" s="146"/>
      <c r="C12" s="379"/>
      <c r="D12" s="379"/>
      <c r="E12" s="379"/>
      <c r="F12" s="147"/>
      <c r="G12" s="379"/>
      <c r="H12" s="379"/>
      <c r="I12" s="379"/>
    </row>
    <row r="13" spans="1:21" ht="19.5">
      <c r="A13" s="266" t="s">
        <v>0</v>
      </c>
      <c r="B13" s="202"/>
      <c r="C13" s="362"/>
      <c r="D13" s="104"/>
      <c r="E13" s="148"/>
      <c r="F13" s="462" t="s">
        <v>82</v>
      </c>
      <c r="G13" s="462"/>
      <c r="H13" s="462"/>
      <c r="I13" s="462"/>
      <c r="J13" s="462"/>
      <c r="K13" s="462"/>
      <c r="L13" s="462"/>
      <c r="M13" s="462"/>
      <c r="N13" s="462"/>
      <c r="O13" s="462"/>
    </row>
    <row r="14" spans="1:21" ht="15.75" customHeight="1">
      <c r="A14" s="460"/>
      <c r="B14" s="460"/>
      <c r="C14" s="362"/>
      <c r="D14" s="104"/>
      <c r="E14" s="149"/>
      <c r="F14" s="461" t="s">
        <v>1</v>
      </c>
      <c r="G14" s="461"/>
      <c r="H14" s="461"/>
      <c r="I14" s="461"/>
      <c r="J14" s="461"/>
      <c r="K14" s="461"/>
      <c r="L14" s="461"/>
      <c r="M14" s="461"/>
      <c r="N14" s="461"/>
      <c r="O14" s="461"/>
    </row>
    <row r="15" spans="1:21" ht="34.5" customHeight="1">
      <c r="A15" s="266" t="s">
        <v>2</v>
      </c>
      <c r="B15" s="202"/>
      <c r="C15" s="362"/>
      <c r="D15" s="104"/>
      <c r="E15" s="148"/>
      <c r="F15" s="463" t="s">
        <v>230</v>
      </c>
      <c r="G15" s="463"/>
      <c r="H15" s="463"/>
      <c r="I15" s="463"/>
      <c r="J15" s="463"/>
      <c r="K15" s="463"/>
      <c r="L15" s="463"/>
      <c r="M15" s="463"/>
      <c r="N15" s="463"/>
      <c r="O15" s="463"/>
    </row>
    <row r="16" spans="1:21" ht="29.25" customHeight="1">
      <c r="E16" s="149"/>
      <c r="F16" s="461" t="s">
        <v>3</v>
      </c>
      <c r="G16" s="461"/>
      <c r="H16" s="461"/>
      <c r="I16" s="461"/>
      <c r="J16" s="461"/>
      <c r="K16" s="461"/>
      <c r="L16" s="461"/>
      <c r="M16" s="461"/>
      <c r="N16" s="461"/>
      <c r="O16" s="461"/>
    </row>
    <row r="18" spans="1:18" ht="15" customHeight="1">
      <c r="A18" s="471" t="s">
        <v>4</v>
      </c>
      <c r="B18" s="471"/>
      <c r="C18" s="471" t="s">
        <v>5</v>
      </c>
      <c r="D18" s="472" t="s">
        <v>86</v>
      </c>
      <c r="E18" s="472" t="s">
        <v>6</v>
      </c>
      <c r="F18" s="472" t="s">
        <v>7</v>
      </c>
      <c r="G18" s="467" t="s">
        <v>8</v>
      </c>
      <c r="H18" s="467"/>
      <c r="I18" s="467"/>
      <c r="J18" s="467"/>
      <c r="K18" s="467"/>
      <c r="L18" s="467"/>
      <c r="M18" s="467"/>
      <c r="N18" s="467"/>
      <c r="O18" s="467"/>
      <c r="P18" s="467"/>
      <c r="Q18" s="467"/>
      <c r="R18" s="467"/>
    </row>
    <row r="19" spans="1:18" ht="76.5" customHeight="1">
      <c r="A19" s="471"/>
      <c r="B19" s="471"/>
      <c r="C19" s="471"/>
      <c r="D19" s="472"/>
      <c r="E19" s="472"/>
      <c r="F19" s="472"/>
      <c r="G19" s="364" t="s">
        <v>61</v>
      </c>
      <c r="H19" s="364" t="s">
        <v>62</v>
      </c>
      <c r="I19" s="364" t="s">
        <v>70</v>
      </c>
      <c r="J19" s="364" t="s">
        <v>71</v>
      </c>
      <c r="K19" s="364" t="s">
        <v>72</v>
      </c>
      <c r="L19" s="364" t="s">
        <v>73</v>
      </c>
      <c r="M19" s="364" t="s">
        <v>74</v>
      </c>
      <c r="N19" s="364" t="s">
        <v>84</v>
      </c>
      <c r="O19" s="364" t="s">
        <v>85</v>
      </c>
      <c r="P19" s="365" t="s">
        <v>360</v>
      </c>
      <c r="Q19" s="365" t="s">
        <v>361</v>
      </c>
      <c r="R19" s="365" t="s">
        <v>362</v>
      </c>
    </row>
    <row r="20" spans="1:18">
      <c r="A20" s="199" t="s">
        <v>9</v>
      </c>
      <c r="B20" s="200" t="s">
        <v>10</v>
      </c>
      <c r="C20" s="471"/>
      <c r="D20" s="472"/>
      <c r="E20" s="472"/>
      <c r="F20" s="472"/>
      <c r="G20" s="365" t="s">
        <v>11</v>
      </c>
      <c r="H20" s="365" t="s">
        <v>60</v>
      </c>
      <c r="I20" s="365" t="s">
        <v>60</v>
      </c>
      <c r="J20" s="365" t="s">
        <v>60</v>
      </c>
      <c r="K20" s="365" t="s">
        <v>60</v>
      </c>
      <c r="L20" s="365" t="s">
        <v>563</v>
      </c>
      <c r="M20" s="365" t="s">
        <v>12</v>
      </c>
      <c r="N20" s="365" t="s">
        <v>12</v>
      </c>
      <c r="O20" s="365" t="s">
        <v>12</v>
      </c>
      <c r="P20" s="365" t="s">
        <v>12</v>
      </c>
      <c r="Q20" s="365" t="s">
        <v>12</v>
      </c>
      <c r="R20" s="365" t="s">
        <v>12</v>
      </c>
    </row>
    <row r="21" spans="1:18" ht="15.75" customHeight="1">
      <c r="A21" s="468" t="s">
        <v>460</v>
      </c>
      <c r="B21" s="468"/>
      <c r="C21" s="468"/>
      <c r="D21" s="468"/>
      <c r="E21" s="468"/>
      <c r="F21" s="468"/>
      <c r="G21" s="468"/>
      <c r="H21" s="468"/>
      <c r="I21" s="468"/>
      <c r="J21" s="468"/>
      <c r="K21" s="468"/>
      <c r="L21" s="468"/>
      <c r="M21" s="468"/>
      <c r="N21" s="468"/>
      <c r="O21" s="468"/>
      <c r="P21" s="468"/>
      <c r="Q21" s="468"/>
      <c r="R21" s="468"/>
    </row>
    <row r="22" spans="1:18" ht="97.5" customHeight="1">
      <c r="A22" s="225" t="s">
        <v>83</v>
      </c>
      <c r="B22" s="225" t="s">
        <v>142</v>
      </c>
      <c r="C22" s="226">
        <v>1</v>
      </c>
      <c r="D22" s="465" t="s">
        <v>244</v>
      </c>
      <c r="E22" s="227" t="s">
        <v>545</v>
      </c>
      <c r="F22" s="364" t="s">
        <v>14</v>
      </c>
      <c r="G22" s="228">
        <v>97.7</v>
      </c>
      <c r="H22" s="228">
        <v>97.8</v>
      </c>
      <c r="I22" s="228">
        <v>44.4</v>
      </c>
      <c r="J22" s="228">
        <v>54.2</v>
      </c>
      <c r="K22" s="228">
        <v>64</v>
      </c>
      <c r="L22" s="228">
        <v>66.099999999999994</v>
      </c>
      <c r="M22" s="228">
        <v>68.2</v>
      </c>
      <c r="N22" s="228">
        <v>69</v>
      </c>
      <c r="O22" s="228">
        <v>69.5</v>
      </c>
      <c r="P22" s="17">
        <v>73.7</v>
      </c>
      <c r="Q22" s="17">
        <v>75.900000000000006</v>
      </c>
      <c r="R22" s="17">
        <v>77</v>
      </c>
    </row>
    <row r="23" spans="1:18" ht="123" customHeight="1">
      <c r="A23" s="199" t="s">
        <v>83</v>
      </c>
      <c r="B23" s="199" t="s">
        <v>142</v>
      </c>
      <c r="C23" s="201">
        <v>2</v>
      </c>
      <c r="D23" s="466"/>
      <c r="E23" s="198" t="s">
        <v>316</v>
      </c>
      <c r="F23" s="365" t="s">
        <v>14</v>
      </c>
      <c r="G23" s="18"/>
      <c r="H23" s="18"/>
      <c r="I23" s="378" t="s">
        <v>182</v>
      </c>
      <c r="J23" s="378" t="s">
        <v>182</v>
      </c>
      <c r="K23" s="378">
        <v>25</v>
      </c>
      <c r="L23" s="378">
        <v>70.900000000000006</v>
      </c>
      <c r="M23" s="378">
        <v>71.900000000000006</v>
      </c>
      <c r="N23" s="18">
        <v>72.900000000000006</v>
      </c>
      <c r="O23" s="18">
        <v>73.900000000000006</v>
      </c>
      <c r="P23" s="17">
        <v>74.900000000000006</v>
      </c>
      <c r="Q23" s="17">
        <v>75.900000000000006</v>
      </c>
      <c r="R23" s="17">
        <v>76.900000000000006</v>
      </c>
    </row>
    <row r="24" spans="1:18" ht="129.75" customHeight="1">
      <c r="A24" s="199" t="s">
        <v>83</v>
      </c>
      <c r="B24" s="199" t="s">
        <v>142</v>
      </c>
      <c r="C24" s="201">
        <v>3</v>
      </c>
      <c r="D24" s="466"/>
      <c r="E24" s="198" t="s">
        <v>317</v>
      </c>
      <c r="F24" s="365" t="s">
        <v>14</v>
      </c>
      <c r="G24" s="18"/>
      <c r="H24" s="18"/>
      <c r="I24" s="378" t="s">
        <v>182</v>
      </c>
      <c r="J24" s="378" t="s">
        <v>182</v>
      </c>
      <c r="K24" s="378">
        <v>68.3</v>
      </c>
      <c r="L24" s="378">
        <v>72.8</v>
      </c>
      <c r="M24" s="378">
        <v>73.8</v>
      </c>
      <c r="N24" s="18">
        <v>74.8</v>
      </c>
      <c r="O24" s="18">
        <v>75.8</v>
      </c>
      <c r="P24" s="17">
        <v>76.8</v>
      </c>
      <c r="Q24" s="17">
        <v>77.8</v>
      </c>
      <c r="R24" s="17">
        <v>78.8</v>
      </c>
    </row>
    <row r="25" spans="1:18" ht="98.25" customHeight="1">
      <c r="A25" s="199" t="s">
        <v>83</v>
      </c>
      <c r="B25" s="199" t="s">
        <v>142</v>
      </c>
      <c r="C25" s="201">
        <v>4</v>
      </c>
      <c r="D25" s="466"/>
      <c r="E25" s="150" t="s">
        <v>570</v>
      </c>
      <c r="F25" s="365" t="s">
        <v>14</v>
      </c>
      <c r="G25" s="18"/>
      <c r="H25" s="18"/>
      <c r="I25" s="378" t="s">
        <v>182</v>
      </c>
      <c r="J25" s="378">
        <v>44.7</v>
      </c>
      <c r="K25" s="378">
        <v>52</v>
      </c>
      <c r="L25" s="378">
        <v>50</v>
      </c>
      <c r="M25" s="378">
        <v>60</v>
      </c>
      <c r="N25" s="378">
        <v>63</v>
      </c>
      <c r="O25" s="378">
        <v>66</v>
      </c>
      <c r="P25" s="17">
        <v>69</v>
      </c>
      <c r="Q25" s="17">
        <v>72</v>
      </c>
      <c r="R25" s="17">
        <v>75</v>
      </c>
    </row>
    <row r="26" spans="1:18" ht="35.25" customHeight="1">
      <c r="A26" s="469" t="s">
        <v>169</v>
      </c>
      <c r="B26" s="470"/>
      <c r="C26" s="470"/>
      <c r="D26" s="470"/>
      <c r="E26" s="470"/>
      <c r="F26" s="470"/>
      <c r="G26" s="470"/>
      <c r="H26" s="470"/>
      <c r="I26" s="470"/>
      <c r="J26" s="470"/>
      <c r="K26" s="470"/>
      <c r="L26" s="470"/>
      <c r="M26" s="470"/>
      <c r="N26" s="470"/>
      <c r="O26" s="470"/>
      <c r="P26" s="470"/>
      <c r="Q26" s="470"/>
      <c r="R26" s="470"/>
    </row>
    <row r="27" spans="1:18" ht="81.75" customHeight="1">
      <c r="A27" s="199" t="s">
        <v>83</v>
      </c>
      <c r="B27" s="199" t="s">
        <v>143</v>
      </c>
      <c r="C27" s="201">
        <v>1</v>
      </c>
      <c r="D27" s="459" t="s">
        <v>250</v>
      </c>
      <c r="E27" s="16" t="s">
        <v>210</v>
      </c>
      <c r="F27" s="365" t="s">
        <v>14</v>
      </c>
      <c r="G27" s="17">
        <v>141.5</v>
      </c>
      <c r="H27" s="18">
        <v>141</v>
      </c>
      <c r="I27" s="18">
        <v>52.4</v>
      </c>
      <c r="J27" s="18">
        <v>62.2</v>
      </c>
      <c r="K27" s="18">
        <v>74</v>
      </c>
      <c r="L27" s="18">
        <v>74.099999999999994</v>
      </c>
      <c r="M27" s="18">
        <v>76.2</v>
      </c>
      <c r="N27" s="18">
        <v>77</v>
      </c>
      <c r="O27" s="18">
        <v>77.5</v>
      </c>
      <c r="P27" s="18">
        <v>78</v>
      </c>
      <c r="Q27" s="18">
        <v>78.5</v>
      </c>
      <c r="R27" s="18">
        <v>79</v>
      </c>
    </row>
    <row r="28" spans="1:18" ht="67.5" customHeight="1">
      <c r="A28" s="199" t="s">
        <v>83</v>
      </c>
      <c r="B28" s="199" t="s">
        <v>143</v>
      </c>
      <c r="C28" s="201">
        <v>2</v>
      </c>
      <c r="D28" s="459"/>
      <c r="E28" s="150" t="s">
        <v>218</v>
      </c>
      <c r="F28" s="365" t="s">
        <v>14</v>
      </c>
      <c r="G28" s="17"/>
      <c r="H28" s="18"/>
      <c r="I28" s="378">
        <v>36.799999999999997</v>
      </c>
      <c r="J28" s="378">
        <v>46.6</v>
      </c>
      <c r="K28" s="378">
        <v>91</v>
      </c>
      <c r="L28" s="378">
        <v>64.900000000000006</v>
      </c>
      <c r="M28" s="378">
        <v>70.3</v>
      </c>
      <c r="N28" s="378">
        <v>72.900000000000006</v>
      </c>
      <c r="O28" s="378">
        <v>75.7</v>
      </c>
      <c r="P28" s="18">
        <v>78.400000000000006</v>
      </c>
      <c r="Q28" s="18">
        <v>81.099999999999994</v>
      </c>
      <c r="R28" s="18">
        <v>86.5</v>
      </c>
    </row>
    <row r="29" spans="1:18" ht="88.5" customHeight="1">
      <c r="A29" s="199" t="s">
        <v>83</v>
      </c>
      <c r="B29" s="199" t="s">
        <v>143</v>
      </c>
      <c r="C29" s="201">
        <v>3</v>
      </c>
      <c r="D29" s="459"/>
      <c r="E29" s="150" t="s">
        <v>213</v>
      </c>
      <c r="F29" s="365" t="s">
        <v>14</v>
      </c>
      <c r="G29" s="17"/>
      <c r="H29" s="18"/>
      <c r="I29" s="378">
        <v>37.4</v>
      </c>
      <c r="J29" s="378">
        <v>47.2</v>
      </c>
      <c r="K29" s="378">
        <v>63</v>
      </c>
      <c r="L29" s="378">
        <v>59.1</v>
      </c>
      <c r="M29" s="378">
        <v>61.2</v>
      </c>
      <c r="N29" s="378">
        <v>61.5</v>
      </c>
      <c r="O29" s="378">
        <v>62</v>
      </c>
      <c r="P29" s="18">
        <v>62.5</v>
      </c>
      <c r="Q29" s="18">
        <v>63</v>
      </c>
      <c r="R29" s="18">
        <v>63.5</v>
      </c>
    </row>
    <row r="30" spans="1:18" ht="84.75" customHeight="1">
      <c r="A30" s="199" t="s">
        <v>83</v>
      </c>
      <c r="B30" s="199" t="s">
        <v>143</v>
      </c>
      <c r="C30" s="201">
        <v>4</v>
      </c>
      <c r="D30" s="459"/>
      <c r="E30" s="150" t="s">
        <v>214</v>
      </c>
      <c r="F30" s="365" t="s">
        <v>14</v>
      </c>
      <c r="G30" s="17"/>
      <c r="H30" s="18"/>
      <c r="I30" s="378">
        <v>45.4</v>
      </c>
      <c r="J30" s="378">
        <v>55.2</v>
      </c>
      <c r="K30" s="378">
        <v>65</v>
      </c>
      <c r="L30" s="378">
        <v>67.099999999999994</v>
      </c>
      <c r="M30" s="378">
        <v>69.2</v>
      </c>
      <c r="N30" s="378">
        <v>69.5</v>
      </c>
      <c r="O30" s="378">
        <v>70</v>
      </c>
      <c r="P30" s="18">
        <v>70.5</v>
      </c>
      <c r="Q30" s="18">
        <v>71</v>
      </c>
      <c r="R30" s="18">
        <v>71.5</v>
      </c>
    </row>
    <row r="31" spans="1:18" ht="84.75" customHeight="1">
      <c r="A31" s="199" t="s">
        <v>83</v>
      </c>
      <c r="B31" s="199" t="s">
        <v>143</v>
      </c>
      <c r="C31" s="201">
        <v>5</v>
      </c>
      <c r="D31" s="459"/>
      <c r="E31" s="16" t="s">
        <v>211</v>
      </c>
      <c r="F31" s="365" t="s">
        <v>14</v>
      </c>
      <c r="G31" s="17"/>
      <c r="H31" s="18"/>
      <c r="I31" s="18">
        <v>96</v>
      </c>
      <c r="J31" s="18">
        <v>97</v>
      </c>
      <c r="K31" s="18">
        <v>98</v>
      </c>
      <c r="L31" s="18">
        <v>99</v>
      </c>
      <c r="M31" s="18">
        <v>100</v>
      </c>
      <c r="N31" s="18">
        <v>100</v>
      </c>
      <c r="O31" s="18">
        <v>100</v>
      </c>
      <c r="P31" s="18">
        <v>100</v>
      </c>
      <c r="Q31" s="18">
        <v>100</v>
      </c>
      <c r="R31" s="18">
        <v>100</v>
      </c>
    </row>
    <row r="32" spans="1:18" ht="69" customHeight="1">
      <c r="A32" s="199" t="s">
        <v>83</v>
      </c>
      <c r="B32" s="199" t="s">
        <v>143</v>
      </c>
      <c r="C32" s="201">
        <v>6</v>
      </c>
      <c r="D32" s="459"/>
      <c r="E32" s="16" t="s">
        <v>212</v>
      </c>
      <c r="F32" s="365" t="s">
        <v>14</v>
      </c>
      <c r="G32" s="17"/>
      <c r="H32" s="18"/>
      <c r="I32" s="18">
        <v>30</v>
      </c>
      <c r="J32" s="18">
        <v>35</v>
      </c>
      <c r="K32" s="18">
        <v>40</v>
      </c>
      <c r="L32" s="18">
        <v>45</v>
      </c>
      <c r="M32" s="18">
        <v>50</v>
      </c>
      <c r="N32" s="18">
        <v>55</v>
      </c>
      <c r="O32" s="18">
        <v>60</v>
      </c>
      <c r="P32" s="18">
        <v>65</v>
      </c>
      <c r="Q32" s="18">
        <v>70</v>
      </c>
      <c r="R32" s="18">
        <v>75</v>
      </c>
    </row>
    <row r="33" spans="1:18" ht="98.25" customHeight="1">
      <c r="A33" s="199" t="s">
        <v>83</v>
      </c>
      <c r="B33" s="199" t="s">
        <v>143</v>
      </c>
      <c r="C33" s="201">
        <v>7</v>
      </c>
      <c r="D33" s="459"/>
      <c r="E33" s="150" t="s">
        <v>215</v>
      </c>
      <c r="F33" s="365" t="s">
        <v>14</v>
      </c>
      <c r="G33" s="17"/>
      <c r="H33" s="18"/>
      <c r="I33" s="378">
        <v>16</v>
      </c>
      <c r="J33" s="378">
        <v>17.100000000000001</v>
      </c>
      <c r="K33" s="378">
        <v>18</v>
      </c>
      <c r="L33" s="378">
        <v>18</v>
      </c>
      <c r="M33" s="378">
        <v>18.5</v>
      </c>
      <c r="N33" s="378">
        <v>19</v>
      </c>
      <c r="O33" s="378">
        <v>19.5</v>
      </c>
      <c r="P33" s="18">
        <v>20</v>
      </c>
      <c r="Q33" s="18">
        <v>20.5</v>
      </c>
      <c r="R33" s="18">
        <v>21</v>
      </c>
    </row>
    <row r="34" spans="1:18" ht="69.75" customHeight="1">
      <c r="A34" s="199" t="s">
        <v>83</v>
      </c>
      <c r="B34" s="199" t="s">
        <v>143</v>
      </c>
      <c r="C34" s="201">
        <v>8</v>
      </c>
      <c r="D34" s="459"/>
      <c r="E34" s="150" t="s">
        <v>216</v>
      </c>
      <c r="F34" s="365" t="s">
        <v>14</v>
      </c>
      <c r="G34" s="17"/>
      <c r="H34" s="18"/>
      <c r="I34" s="18">
        <v>80</v>
      </c>
      <c r="J34" s="18">
        <v>85</v>
      </c>
      <c r="K34" s="18">
        <v>90</v>
      </c>
      <c r="L34" s="18">
        <v>95</v>
      </c>
      <c r="M34" s="18">
        <v>100</v>
      </c>
      <c r="N34" s="18">
        <v>100</v>
      </c>
      <c r="O34" s="18">
        <v>100</v>
      </c>
      <c r="P34" s="18">
        <v>100</v>
      </c>
      <c r="Q34" s="18">
        <v>100</v>
      </c>
      <c r="R34" s="18">
        <v>100</v>
      </c>
    </row>
    <row r="35" spans="1:18" ht="99.75" customHeight="1">
      <c r="A35" s="199" t="s">
        <v>83</v>
      </c>
      <c r="B35" s="199" t="s">
        <v>143</v>
      </c>
      <c r="C35" s="201">
        <v>9</v>
      </c>
      <c r="D35" s="459"/>
      <c r="E35" s="150" t="s">
        <v>217</v>
      </c>
      <c r="F35" s="365" t="s">
        <v>14</v>
      </c>
      <c r="G35" s="17"/>
      <c r="H35" s="18"/>
      <c r="I35" s="378">
        <v>21.4</v>
      </c>
      <c r="J35" s="378">
        <v>22</v>
      </c>
      <c r="K35" s="378">
        <v>23.2</v>
      </c>
      <c r="L35" s="378">
        <v>22.6</v>
      </c>
      <c r="M35" s="378">
        <v>22.9</v>
      </c>
      <c r="N35" s="378">
        <v>23.2</v>
      </c>
      <c r="O35" s="378">
        <v>23.5</v>
      </c>
      <c r="P35" s="18">
        <v>23.8</v>
      </c>
      <c r="Q35" s="18">
        <v>24.1</v>
      </c>
      <c r="R35" s="18">
        <v>24.4</v>
      </c>
    </row>
    <row r="36" spans="1:18" ht="131.25" customHeight="1">
      <c r="A36" s="199" t="s">
        <v>83</v>
      </c>
      <c r="B36" s="199" t="s">
        <v>143</v>
      </c>
      <c r="C36" s="201">
        <v>10</v>
      </c>
      <c r="D36" s="459"/>
      <c r="E36" s="150" t="s">
        <v>226</v>
      </c>
      <c r="F36" s="365" t="s">
        <v>14</v>
      </c>
      <c r="G36" s="17"/>
      <c r="H36" s="18"/>
      <c r="I36" s="378">
        <v>13.4</v>
      </c>
      <c r="J36" s="378">
        <v>15.1</v>
      </c>
      <c r="K36" s="378">
        <v>10</v>
      </c>
      <c r="L36" s="378">
        <v>18.5</v>
      </c>
      <c r="M36" s="378">
        <v>20.2</v>
      </c>
      <c r="N36" s="378">
        <v>20.5</v>
      </c>
      <c r="O36" s="378">
        <v>21</v>
      </c>
      <c r="P36" s="18">
        <v>21.5</v>
      </c>
      <c r="Q36" s="18">
        <v>22</v>
      </c>
      <c r="R36" s="18">
        <v>23.5</v>
      </c>
    </row>
    <row r="37" spans="1:18" ht="101.25" customHeight="1">
      <c r="A37" s="199"/>
      <c r="B37" s="199"/>
      <c r="C37" s="252"/>
      <c r="D37" s="459"/>
      <c r="E37" s="150" t="s">
        <v>227</v>
      </c>
      <c r="F37" s="365" t="s">
        <v>14</v>
      </c>
      <c r="G37" s="17"/>
      <c r="H37" s="18"/>
      <c r="I37" s="378" t="s">
        <v>182</v>
      </c>
      <c r="J37" s="378">
        <v>22</v>
      </c>
      <c r="K37" s="378">
        <v>16.399999999999999</v>
      </c>
      <c r="L37" s="378">
        <v>24.4</v>
      </c>
      <c r="M37" s="378">
        <v>26.1</v>
      </c>
      <c r="N37" s="378">
        <v>27.8</v>
      </c>
      <c r="O37" s="378">
        <v>29.5</v>
      </c>
      <c r="P37" s="18">
        <v>30</v>
      </c>
      <c r="Q37" s="18">
        <v>30.5</v>
      </c>
      <c r="R37" s="18">
        <v>31</v>
      </c>
    </row>
    <row r="38" spans="1:18" ht="129" customHeight="1">
      <c r="A38" s="199"/>
      <c r="B38" s="199"/>
      <c r="C38" s="252"/>
      <c r="D38" s="459"/>
      <c r="E38" s="150" t="s">
        <v>228</v>
      </c>
      <c r="F38" s="365" t="s">
        <v>14</v>
      </c>
      <c r="G38" s="17"/>
      <c r="H38" s="18"/>
      <c r="I38" s="378" t="s">
        <v>182</v>
      </c>
      <c r="J38" s="378">
        <v>1.7</v>
      </c>
      <c r="K38" s="255">
        <v>1</v>
      </c>
      <c r="L38" s="378">
        <v>2.6</v>
      </c>
      <c r="M38" s="378">
        <v>31.4</v>
      </c>
      <c r="N38" s="253">
        <v>33.200000000000003</v>
      </c>
      <c r="O38" s="253">
        <v>35</v>
      </c>
      <c r="P38" s="18">
        <v>36.799999999999997</v>
      </c>
      <c r="Q38" s="18">
        <v>38.6</v>
      </c>
      <c r="R38" s="18">
        <v>40.4</v>
      </c>
    </row>
    <row r="39" spans="1:18" ht="128.25" customHeight="1">
      <c r="A39" s="199"/>
      <c r="B39" s="199"/>
      <c r="C39" s="252"/>
      <c r="D39" s="459"/>
      <c r="E39" s="150" t="s">
        <v>229</v>
      </c>
      <c r="F39" s="365" t="s">
        <v>14</v>
      </c>
      <c r="G39" s="17"/>
      <c r="H39" s="18"/>
      <c r="I39" s="378" t="s">
        <v>182</v>
      </c>
      <c r="J39" s="378">
        <v>0</v>
      </c>
      <c r="K39" s="378">
        <v>0</v>
      </c>
      <c r="L39" s="378">
        <v>13.9</v>
      </c>
      <c r="M39" s="378">
        <v>14.6</v>
      </c>
      <c r="N39" s="254">
        <v>15.3</v>
      </c>
      <c r="O39" s="378">
        <v>16</v>
      </c>
      <c r="P39" s="18">
        <v>16.7</v>
      </c>
      <c r="Q39" s="18">
        <v>17.399999999999999</v>
      </c>
      <c r="R39" s="18">
        <v>18.100000000000001</v>
      </c>
    </row>
    <row r="40" spans="1:18" ht="81.75" customHeight="1">
      <c r="A40" s="199" t="s">
        <v>83</v>
      </c>
      <c r="B40" s="199" t="s">
        <v>143</v>
      </c>
      <c r="C40" s="201">
        <v>11</v>
      </c>
      <c r="D40" s="459"/>
      <c r="E40" s="150" t="s">
        <v>219</v>
      </c>
      <c r="F40" s="365" t="s">
        <v>14</v>
      </c>
      <c r="G40" s="17"/>
      <c r="H40" s="18"/>
      <c r="I40" s="378">
        <v>56.2</v>
      </c>
      <c r="J40" s="378">
        <v>66</v>
      </c>
      <c r="K40" s="378">
        <v>75.8</v>
      </c>
      <c r="L40" s="378">
        <v>77.900000000000006</v>
      </c>
      <c r="M40" s="378">
        <v>80</v>
      </c>
      <c r="N40" s="378">
        <v>81.5</v>
      </c>
      <c r="O40" s="378">
        <v>82</v>
      </c>
      <c r="P40" s="18">
        <v>82.5</v>
      </c>
      <c r="Q40" s="18">
        <v>83</v>
      </c>
      <c r="R40" s="18">
        <v>83.5</v>
      </c>
    </row>
    <row r="41" spans="1:18" ht="86.25" customHeight="1">
      <c r="A41" s="199" t="s">
        <v>83</v>
      </c>
      <c r="B41" s="199" t="s">
        <v>143</v>
      </c>
      <c r="C41" s="201">
        <v>12</v>
      </c>
      <c r="D41" s="459"/>
      <c r="E41" s="150" t="s">
        <v>245</v>
      </c>
      <c r="F41" s="365" t="s">
        <v>14</v>
      </c>
      <c r="G41" s="17"/>
      <c r="H41" s="18"/>
      <c r="I41" s="378">
        <v>54.5</v>
      </c>
      <c r="J41" s="378">
        <v>67.5</v>
      </c>
      <c r="K41" s="255">
        <v>83</v>
      </c>
      <c r="L41" s="255">
        <v>68.5</v>
      </c>
      <c r="M41" s="255">
        <v>83.5</v>
      </c>
      <c r="N41" s="255">
        <v>84</v>
      </c>
      <c r="O41" s="255">
        <v>84.5</v>
      </c>
      <c r="P41" s="18">
        <v>85</v>
      </c>
      <c r="Q41" s="18">
        <v>85.5</v>
      </c>
      <c r="R41" s="18">
        <v>86</v>
      </c>
    </row>
    <row r="42" spans="1:18" ht="68.25" customHeight="1">
      <c r="A42" s="199" t="s">
        <v>83</v>
      </c>
      <c r="B42" s="199" t="s">
        <v>143</v>
      </c>
      <c r="C42" s="201">
        <v>13</v>
      </c>
      <c r="D42" s="459"/>
      <c r="E42" s="150" t="s">
        <v>220</v>
      </c>
      <c r="F42" s="365" t="s">
        <v>14</v>
      </c>
      <c r="G42" s="151">
        <v>133.80000000000001</v>
      </c>
      <c r="H42" s="151">
        <v>133</v>
      </c>
      <c r="I42" s="378">
        <v>49.8</v>
      </c>
      <c r="J42" s="378">
        <v>59.6</v>
      </c>
      <c r="K42" s="229">
        <v>89.6</v>
      </c>
      <c r="L42" s="229">
        <v>71.5</v>
      </c>
      <c r="M42" s="229">
        <v>73.599999999999994</v>
      </c>
      <c r="N42" s="229">
        <v>73.8</v>
      </c>
      <c r="O42" s="229">
        <v>74</v>
      </c>
      <c r="P42" s="18">
        <v>74.5</v>
      </c>
      <c r="Q42" s="18">
        <v>75</v>
      </c>
      <c r="R42" s="18">
        <v>75.5</v>
      </c>
    </row>
    <row r="43" spans="1:18" ht="84" customHeight="1">
      <c r="A43" s="199" t="s">
        <v>83</v>
      </c>
      <c r="B43" s="199" t="s">
        <v>143</v>
      </c>
      <c r="C43" s="201">
        <v>14</v>
      </c>
      <c r="D43" s="459"/>
      <c r="E43" s="150" t="s">
        <v>221</v>
      </c>
      <c r="F43" s="365" t="s">
        <v>14</v>
      </c>
      <c r="G43" s="151"/>
      <c r="H43" s="151"/>
      <c r="I43" s="378">
        <v>12</v>
      </c>
      <c r="J43" s="378">
        <v>12</v>
      </c>
      <c r="K43" s="378">
        <v>13.8</v>
      </c>
      <c r="L43" s="378">
        <v>14</v>
      </c>
      <c r="M43" s="378">
        <v>15</v>
      </c>
      <c r="N43" s="378">
        <v>16</v>
      </c>
      <c r="O43" s="378">
        <v>16.5</v>
      </c>
      <c r="P43" s="18">
        <v>17</v>
      </c>
      <c r="Q43" s="18">
        <v>17.5</v>
      </c>
      <c r="R43" s="18">
        <v>18</v>
      </c>
    </row>
    <row r="44" spans="1:18" ht="75" customHeight="1">
      <c r="A44" s="199" t="s">
        <v>83</v>
      </c>
      <c r="B44" s="199" t="s">
        <v>143</v>
      </c>
      <c r="C44" s="201">
        <v>15</v>
      </c>
      <c r="D44" s="459"/>
      <c r="E44" s="150" t="s">
        <v>222</v>
      </c>
      <c r="F44" s="365" t="s">
        <v>14</v>
      </c>
      <c r="G44" s="151">
        <v>133.80000000000001</v>
      </c>
      <c r="H44" s="151">
        <v>133</v>
      </c>
      <c r="I44" s="378">
        <v>50.6</v>
      </c>
      <c r="J44" s="378">
        <v>51.2</v>
      </c>
      <c r="K44" s="378">
        <v>51.8</v>
      </c>
      <c r="L44" s="378">
        <v>61.3</v>
      </c>
      <c r="M44" s="378">
        <v>61.9</v>
      </c>
      <c r="N44" s="378">
        <v>62.5</v>
      </c>
      <c r="O44" s="378">
        <v>63.1</v>
      </c>
      <c r="P44" s="18">
        <v>63.7</v>
      </c>
      <c r="Q44" s="18">
        <v>64.3</v>
      </c>
      <c r="R44" s="18">
        <v>64.900000000000006</v>
      </c>
    </row>
    <row r="45" spans="1:18" ht="27.75" customHeight="1">
      <c r="A45" s="457" t="s">
        <v>558</v>
      </c>
      <c r="B45" s="458"/>
      <c r="C45" s="458"/>
      <c r="D45" s="458"/>
      <c r="E45" s="458"/>
      <c r="F45" s="458"/>
      <c r="G45" s="458"/>
      <c r="H45" s="458"/>
      <c r="I45" s="458"/>
      <c r="J45" s="458"/>
      <c r="K45" s="458"/>
      <c r="L45" s="458"/>
      <c r="M45" s="458"/>
      <c r="N45" s="458"/>
      <c r="O45" s="458"/>
      <c r="P45" s="458"/>
      <c r="Q45" s="458"/>
      <c r="R45" s="458"/>
    </row>
    <row r="46" spans="1:18" ht="127.5" customHeight="1">
      <c r="A46" s="199" t="s">
        <v>83</v>
      </c>
      <c r="B46" s="199" t="s">
        <v>144</v>
      </c>
      <c r="C46" s="201">
        <v>1</v>
      </c>
      <c r="D46" s="454" t="s">
        <v>574</v>
      </c>
      <c r="E46" s="198" t="s">
        <v>316</v>
      </c>
      <c r="F46" s="365" t="s">
        <v>14</v>
      </c>
      <c r="G46" s="18"/>
      <c r="H46" s="18"/>
      <c r="I46" s="378" t="s">
        <v>182</v>
      </c>
      <c r="J46" s="378" t="s">
        <v>182</v>
      </c>
      <c r="K46" s="378">
        <v>51.6</v>
      </c>
      <c r="L46" s="378">
        <v>70.900000000000006</v>
      </c>
      <c r="M46" s="378">
        <v>71.900000000000006</v>
      </c>
      <c r="N46" s="18">
        <v>72.900000000000006</v>
      </c>
      <c r="O46" s="18">
        <v>73.900000000000006</v>
      </c>
      <c r="P46" s="17">
        <v>74.900000000000006</v>
      </c>
      <c r="Q46" s="17">
        <v>75.900000000000006</v>
      </c>
      <c r="R46" s="17">
        <v>76.900000000000006</v>
      </c>
    </row>
    <row r="47" spans="1:18" ht="108" customHeight="1">
      <c r="A47" s="199" t="s">
        <v>83</v>
      </c>
      <c r="B47" s="199" t="s">
        <v>144</v>
      </c>
      <c r="C47" s="201">
        <v>2</v>
      </c>
      <c r="D47" s="455"/>
      <c r="E47" s="428" t="s">
        <v>317</v>
      </c>
      <c r="F47" s="365" t="s">
        <v>14</v>
      </c>
      <c r="G47" s="18"/>
      <c r="H47" s="18"/>
      <c r="I47" s="378" t="s">
        <v>182</v>
      </c>
      <c r="J47" s="378" t="s">
        <v>182</v>
      </c>
      <c r="K47" s="378">
        <v>68.3</v>
      </c>
      <c r="L47" s="378">
        <v>72.8</v>
      </c>
      <c r="M47" s="378">
        <v>73.8</v>
      </c>
      <c r="N47" s="18">
        <v>74.8</v>
      </c>
      <c r="O47" s="18">
        <v>75.8</v>
      </c>
      <c r="P47" s="17">
        <v>76.8</v>
      </c>
      <c r="Q47" s="17">
        <v>77.8</v>
      </c>
      <c r="R47" s="17">
        <v>78.8</v>
      </c>
    </row>
    <row r="48" spans="1:18" ht="67.5" customHeight="1">
      <c r="A48" s="199" t="s">
        <v>83</v>
      </c>
      <c r="B48" s="199" t="s">
        <v>144</v>
      </c>
      <c r="C48" s="201">
        <v>3</v>
      </c>
      <c r="D48" s="455"/>
      <c r="E48" s="428" t="s">
        <v>575</v>
      </c>
      <c r="F48" s="365" t="s">
        <v>14</v>
      </c>
      <c r="G48" s="18"/>
      <c r="H48" s="18"/>
      <c r="I48" s="378" t="s">
        <v>182</v>
      </c>
      <c r="J48" s="378" t="s">
        <v>182</v>
      </c>
      <c r="K48" s="378">
        <v>50</v>
      </c>
      <c r="L48" s="378">
        <v>75</v>
      </c>
      <c r="M48" s="378">
        <v>100</v>
      </c>
      <c r="N48" s="232">
        <v>100</v>
      </c>
      <c r="O48" s="232">
        <v>100</v>
      </c>
      <c r="P48" s="233">
        <v>100</v>
      </c>
      <c r="Q48" s="233">
        <v>100</v>
      </c>
      <c r="R48" s="233">
        <v>100</v>
      </c>
    </row>
    <row r="49" spans="1:18" ht="36.75" customHeight="1">
      <c r="A49" s="199" t="s">
        <v>83</v>
      </c>
      <c r="B49" s="199" t="s">
        <v>144</v>
      </c>
      <c r="C49" s="201">
        <v>4</v>
      </c>
      <c r="D49" s="456"/>
      <c r="E49" s="198" t="s">
        <v>576</v>
      </c>
      <c r="F49" s="365" t="s">
        <v>318</v>
      </c>
      <c r="G49" s="259"/>
      <c r="H49" s="259"/>
      <c r="I49" s="378" t="s">
        <v>182</v>
      </c>
      <c r="J49" s="378" t="s">
        <v>182</v>
      </c>
      <c r="K49" s="17" t="s">
        <v>182</v>
      </c>
      <c r="L49" s="17" t="s">
        <v>182</v>
      </c>
      <c r="M49" s="17">
        <v>7</v>
      </c>
      <c r="N49" s="17">
        <v>19</v>
      </c>
      <c r="O49" s="17">
        <v>32</v>
      </c>
      <c r="P49" s="17">
        <v>41</v>
      </c>
      <c r="Q49" s="17">
        <v>52</v>
      </c>
      <c r="R49" s="17">
        <v>52</v>
      </c>
    </row>
    <row r="50" spans="1:18" ht="59.25" customHeight="1">
      <c r="A50" s="199" t="s">
        <v>83</v>
      </c>
      <c r="B50" s="199" t="s">
        <v>144</v>
      </c>
      <c r="C50" s="201">
        <v>5</v>
      </c>
      <c r="D50" s="454" t="s">
        <v>577</v>
      </c>
      <c r="E50" s="198" t="s">
        <v>320</v>
      </c>
      <c r="F50" s="364" t="s">
        <v>14</v>
      </c>
      <c r="G50" s="228"/>
      <c r="H50" s="228"/>
      <c r="I50" s="229" t="s">
        <v>182</v>
      </c>
      <c r="J50" s="229" t="s">
        <v>182</v>
      </c>
      <c r="K50" s="229">
        <v>35.299999999999997</v>
      </c>
      <c r="L50" s="229">
        <v>37.6</v>
      </c>
      <c r="M50" s="229">
        <v>40</v>
      </c>
      <c r="N50" s="229">
        <v>42.3</v>
      </c>
      <c r="O50" s="229">
        <v>44.7</v>
      </c>
      <c r="P50" s="228">
        <v>47</v>
      </c>
      <c r="Q50" s="228">
        <v>49.4</v>
      </c>
      <c r="R50" s="228">
        <v>51.7</v>
      </c>
    </row>
    <row r="51" spans="1:18" ht="76.5" customHeight="1">
      <c r="A51" s="199" t="s">
        <v>83</v>
      </c>
      <c r="B51" s="199" t="s">
        <v>144</v>
      </c>
      <c r="C51" s="201">
        <v>6</v>
      </c>
      <c r="D51" s="455"/>
      <c r="E51" s="256" t="s">
        <v>461</v>
      </c>
      <c r="F51" s="365" t="s">
        <v>14</v>
      </c>
      <c r="G51" s="18"/>
      <c r="H51" s="18"/>
      <c r="I51" s="378">
        <v>105.8</v>
      </c>
      <c r="J51" s="378">
        <v>102</v>
      </c>
      <c r="K51" s="378">
        <v>139</v>
      </c>
      <c r="L51" s="378">
        <v>105</v>
      </c>
      <c r="M51" s="378">
        <v>107</v>
      </c>
      <c r="N51" s="378">
        <v>109</v>
      </c>
      <c r="O51" s="378">
        <v>111</v>
      </c>
      <c r="P51" s="229">
        <v>113</v>
      </c>
      <c r="Q51" s="229">
        <v>115</v>
      </c>
      <c r="R51" s="229">
        <v>117</v>
      </c>
    </row>
    <row r="52" spans="1:18" ht="81" customHeight="1">
      <c r="A52" s="199" t="s">
        <v>83</v>
      </c>
      <c r="B52" s="199" t="s">
        <v>144</v>
      </c>
      <c r="C52" s="201">
        <v>7</v>
      </c>
      <c r="D52" s="456"/>
      <c r="E52" s="256" t="s">
        <v>465</v>
      </c>
      <c r="F52" s="365" t="s">
        <v>14</v>
      </c>
      <c r="G52" s="18"/>
      <c r="H52" s="18"/>
      <c r="I52" s="378">
        <v>2.7</v>
      </c>
      <c r="J52" s="378">
        <v>8</v>
      </c>
      <c r="K52" s="378">
        <v>4.2</v>
      </c>
      <c r="L52" s="378">
        <v>7</v>
      </c>
      <c r="M52" s="378">
        <v>7</v>
      </c>
      <c r="N52" s="378">
        <v>7</v>
      </c>
      <c r="O52" s="378">
        <v>7</v>
      </c>
      <c r="P52" s="378">
        <v>7</v>
      </c>
      <c r="Q52" s="378">
        <v>7</v>
      </c>
      <c r="R52" s="378">
        <v>7</v>
      </c>
    </row>
    <row r="53" spans="1:18" ht="129.75" customHeight="1">
      <c r="A53" s="199" t="s">
        <v>83</v>
      </c>
      <c r="B53" s="199" t="s">
        <v>144</v>
      </c>
      <c r="C53" s="201">
        <v>8</v>
      </c>
      <c r="D53" s="16" t="s">
        <v>578</v>
      </c>
      <c r="E53" s="382" t="s">
        <v>319</v>
      </c>
      <c r="F53" s="365" t="s">
        <v>14</v>
      </c>
      <c r="G53" s="18"/>
      <c r="H53" s="18"/>
      <c r="I53" s="378" t="s">
        <v>182</v>
      </c>
      <c r="J53" s="378" t="s">
        <v>182</v>
      </c>
      <c r="K53" s="255">
        <v>12</v>
      </c>
      <c r="L53" s="255">
        <v>30</v>
      </c>
      <c r="M53" s="255">
        <v>48</v>
      </c>
      <c r="N53" s="255">
        <v>66</v>
      </c>
      <c r="O53" s="255">
        <v>84</v>
      </c>
      <c r="P53" s="18">
        <v>100</v>
      </c>
      <c r="Q53" s="18">
        <v>100</v>
      </c>
      <c r="R53" s="18">
        <v>100</v>
      </c>
    </row>
    <row r="54" spans="1:18" ht="172.5" customHeight="1">
      <c r="A54" s="199" t="s">
        <v>83</v>
      </c>
      <c r="B54" s="199" t="s">
        <v>144</v>
      </c>
      <c r="C54" s="201">
        <v>9</v>
      </c>
      <c r="D54" s="454" t="s">
        <v>579</v>
      </c>
      <c r="E54" s="198" t="s">
        <v>322</v>
      </c>
      <c r="F54" s="365" t="s">
        <v>14</v>
      </c>
      <c r="G54" s="18"/>
      <c r="H54" s="18"/>
      <c r="I54" s="378" t="s">
        <v>182</v>
      </c>
      <c r="J54" s="378" t="s">
        <v>182</v>
      </c>
      <c r="K54" s="378">
        <v>50</v>
      </c>
      <c r="L54" s="378">
        <v>90</v>
      </c>
      <c r="M54" s="378">
        <v>100</v>
      </c>
      <c r="N54" s="378">
        <v>100</v>
      </c>
      <c r="O54" s="378">
        <v>100</v>
      </c>
      <c r="P54" s="18">
        <v>100</v>
      </c>
      <c r="Q54" s="18">
        <v>100</v>
      </c>
      <c r="R54" s="18">
        <v>100</v>
      </c>
    </row>
    <row r="55" spans="1:18" ht="72.75" customHeight="1">
      <c r="A55" s="199" t="s">
        <v>83</v>
      </c>
      <c r="B55" s="199" t="s">
        <v>144</v>
      </c>
      <c r="C55" s="201">
        <v>10</v>
      </c>
      <c r="D55" s="456"/>
      <c r="E55" s="198" t="s">
        <v>321</v>
      </c>
      <c r="F55" s="365" t="s">
        <v>14</v>
      </c>
      <c r="G55" s="18"/>
      <c r="H55" s="18"/>
      <c r="I55" s="378" t="s">
        <v>182</v>
      </c>
      <c r="J55" s="378" t="s">
        <v>182</v>
      </c>
      <c r="K55" s="378">
        <v>99</v>
      </c>
      <c r="L55" s="378">
        <v>99</v>
      </c>
      <c r="M55" s="378">
        <v>99</v>
      </c>
      <c r="N55" s="378">
        <v>99</v>
      </c>
      <c r="O55" s="378">
        <v>99</v>
      </c>
      <c r="P55" s="233">
        <v>99</v>
      </c>
      <c r="Q55" s="233">
        <v>99</v>
      </c>
      <c r="R55" s="233">
        <v>99</v>
      </c>
    </row>
    <row r="56" spans="1:18" ht="24.75" customHeight="1">
      <c r="A56" s="457" t="s">
        <v>192</v>
      </c>
      <c r="B56" s="458"/>
      <c r="C56" s="458"/>
      <c r="D56" s="458"/>
      <c r="E56" s="458"/>
      <c r="F56" s="458"/>
      <c r="G56" s="458"/>
      <c r="H56" s="458"/>
      <c r="I56" s="458"/>
      <c r="J56" s="458"/>
      <c r="K56" s="458"/>
      <c r="L56" s="458"/>
      <c r="M56" s="458"/>
      <c r="N56" s="458"/>
      <c r="O56" s="458"/>
      <c r="P56" s="458"/>
      <c r="Q56" s="458"/>
      <c r="R56" s="458"/>
    </row>
    <row r="57" spans="1:18" ht="118.5" customHeight="1">
      <c r="A57" s="199" t="s">
        <v>83</v>
      </c>
      <c r="B57" s="199" t="s">
        <v>177</v>
      </c>
      <c r="C57" s="224">
        <v>1</v>
      </c>
      <c r="D57" s="459" t="s">
        <v>469</v>
      </c>
      <c r="E57" s="257" t="s">
        <v>198</v>
      </c>
      <c r="F57" s="365" t="s">
        <v>14</v>
      </c>
      <c r="G57" s="18"/>
      <c r="H57" s="18"/>
      <c r="I57" s="378" t="s">
        <v>182</v>
      </c>
      <c r="J57" s="378">
        <v>75</v>
      </c>
      <c r="K57" s="378">
        <v>100</v>
      </c>
      <c r="L57" s="378">
        <v>95</v>
      </c>
      <c r="M57" s="378">
        <v>100</v>
      </c>
      <c r="N57" s="378">
        <v>100</v>
      </c>
      <c r="O57" s="378">
        <v>100</v>
      </c>
      <c r="P57" s="378">
        <v>100</v>
      </c>
      <c r="Q57" s="378">
        <v>100</v>
      </c>
      <c r="R57" s="378">
        <v>100</v>
      </c>
    </row>
    <row r="58" spans="1:18" ht="85.5" customHeight="1">
      <c r="A58" s="199" t="s">
        <v>83</v>
      </c>
      <c r="B58" s="199" t="s">
        <v>177</v>
      </c>
      <c r="C58" s="224">
        <v>2</v>
      </c>
      <c r="D58" s="459"/>
      <c r="E58" s="256" t="s">
        <v>194</v>
      </c>
      <c r="F58" s="365" t="s">
        <v>14</v>
      </c>
      <c r="G58" s="18"/>
      <c r="H58" s="18"/>
      <c r="I58" s="378" t="s">
        <v>182</v>
      </c>
      <c r="J58" s="378">
        <v>85</v>
      </c>
      <c r="K58" s="378">
        <v>90</v>
      </c>
      <c r="L58" s="378">
        <v>95</v>
      </c>
      <c r="M58" s="378">
        <v>100</v>
      </c>
      <c r="N58" s="378">
        <v>100</v>
      </c>
      <c r="O58" s="378">
        <v>100</v>
      </c>
      <c r="P58" s="378">
        <v>100</v>
      </c>
      <c r="Q58" s="378">
        <v>100</v>
      </c>
      <c r="R58" s="378">
        <v>100</v>
      </c>
    </row>
    <row r="59" spans="1:18" ht="66.75" customHeight="1">
      <c r="A59" s="199" t="s">
        <v>83</v>
      </c>
      <c r="B59" s="199" t="s">
        <v>177</v>
      </c>
      <c r="C59" s="224">
        <v>3</v>
      </c>
      <c r="D59" s="459"/>
      <c r="E59" s="256" t="s">
        <v>195</v>
      </c>
      <c r="F59" s="365" t="s">
        <v>14</v>
      </c>
      <c r="G59" s="18"/>
      <c r="H59" s="18"/>
      <c r="I59" s="378" t="s">
        <v>182</v>
      </c>
      <c r="J59" s="378">
        <v>85</v>
      </c>
      <c r="K59" s="378">
        <v>90</v>
      </c>
      <c r="L59" s="378">
        <v>95</v>
      </c>
      <c r="M59" s="378">
        <v>100</v>
      </c>
      <c r="N59" s="378">
        <v>100</v>
      </c>
      <c r="O59" s="378">
        <v>100</v>
      </c>
      <c r="P59" s="378">
        <v>100</v>
      </c>
      <c r="Q59" s="378">
        <v>100</v>
      </c>
      <c r="R59" s="378">
        <v>100</v>
      </c>
    </row>
    <row r="60" spans="1:18" ht="126">
      <c r="A60" s="201">
        <v>39</v>
      </c>
      <c r="B60" s="201">
        <v>3</v>
      </c>
      <c r="C60" s="224">
        <v>4</v>
      </c>
      <c r="D60" s="459"/>
      <c r="E60" s="258" t="s">
        <v>468</v>
      </c>
      <c r="F60" s="365" t="s">
        <v>14</v>
      </c>
      <c r="G60" s="17"/>
      <c r="H60" s="17"/>
      <c r="I60" s="17">
        <v>28</v>
      </c>
      <c r="J60" s="17">
        <v>41</v>
      </c>
      <c r="K60" s="17">
        <v>29.3</v>
      </c>
      <c r="L60" s="18">
        <v>41</v>
      </c>
      <c r="M60" s="17" t="s">
        <v>182</v>
      </c>
      <c r="N60" s="378" t="s">
        <v>182</v>
      </c>
      <c r="O60" s="378" t="s">
        <v>182</v>
      </c>
      <c r="P60" s="378" t="s">
        <v>182</v>
      </c>
      <c r="Q60" s="378" t="s">
        <v>182</v>
      </c>
      <c r="R60" s="378" t="s">
        <v>182</v>
      </c>
    </row>
    <row r="61" spans="1:18" ht="111.75" customHeight="1">
      <c r="A61" s="201">
        <v>39</v>
      </c>
      <c r="B61" s="201">
        <v>3</v>
      </c>
      <c r="C61" s="224">
        <v>5</v>
      </c>
      <c r="D61" s="459"/>
      <c r="E61" s="256" t="s">
        <v>467</v>
      </c>
      <c r="F61" s="365" t="s">
        <v>14</v>
      </c>
      <c r="G61" s="259"/>
      <c r="H61" s="259"/>
      <c r="I61" s="17">
        <v>33</v>
      </c>
      <c r="J61" s="17">
        <v>41.5</v>
      </c>
      <c r="K61" s="17">
        <v>48.3</v>
      </c>
      <c r="L61" s="18">
        <v>42</v>
      </c>
      <c r="M61" s="17" t="s">
        <v>182</v>
      </c>
      <c r="N61" s="378" t="s">
        <v>182</v>
      </c>
      <c r="O61" s="378" t="s">
        <v>182</v>
      </c>
      <c r="P61" s="378" t="s">
        <v>182</v>
      </c>
      <c r="Q61" s="378" t="s">
        <v>182</v>
      </c>
      <c r="R61" s="378" t="s">
        <v>182</v>
      </c>
    </row>
    <row r="62" spans="1:18" ht="135.75" customHeight="1">
      <c r="A62" s="201">
        <v>39</v>
      </c>
      <c r="B62" s="201">
        <v>3</v>
      </c>
      <c r="C62" s="224">
        <v>6</v>
      </c>
      <c r="D62" s="459"/>
      <c r="E62" s="256" t="s">
        <v>366</v>
      </c>
      <c r="F62" s="365" t="s">
        <v>14</v>
      </c>
      <c r="G62" s="259"/>
      <c r="H62" s="259"/>
      <c r="I62" s="378" t="s">
        <v>182</v>
      </c>
      <c r="J62" s="17">
        <v>41.5</v>
      </c>
      <c r="K62" s="17">
        <v>53.4</v>
      </c>
      <c r="L62" s="18">
        <v>42</v>
      </c>
      <c r="M62" s="17" t="s">
        <v>182</v>
      </c>
      <c r="N62" s="378" t="s">
        <v>182</v>
      </c>
      <c r="O62" s="378" t="s">
        <v>182</v>
      </c>
      <c r="P62" s="378" t="s">
        <v>182</v>
      </c>
      <c r="Q62" s="378" t="s">
        <v>182</v>
      </c>
      <c r="R62" s="378" t="s">
        <v>182</v>
      </c>
    </row>
    <row r="63" spans="1:18" ht="110.25">
      <c r="A63" s="260">
        <v>39</v>
      </c>
      <c r="B63" s="260">
        <v>3</v>
      </c>
      <c r="C63" s="261">
        <v>7</v>
      </c>
      <c r="D63" s="262"/>
      <c r="E63" s="256" t="s">
        <v>367</v>
      </c>
      <c r="F63" s="263" t="s">
        <v>14</v>
      </c>
      <c r="G63" s="263" t="s">
        <v>182</v>
      </c>
      <c r="H63" s="263" t="s">
        <v>182</v>
      </c>
      <c r="I63" s="264" t="s">
        <v>182</v>
      </c>
      <c r="J63" s="264">
        <v>40</v>
      </c>
      <c r="K63" s="264">
        <v>24.1</v>
      </c>
      <c r="L63" s="264">
        <v>41.5</v>
      </c>
      <c r="M63" s="264" t="s">
        <v>182</v>
      </c>
      <c r="N63" s="264" t="s">
        <v>182</v>
      </c>
      <c r="O63" s="264" t="s">
        <v>182</v>
      </c>
      <c r="P63" s="264" t="s">
        <v>182</v>
      </c>
      <c r="Q63" s="264" t="s">
        <v>182</v>
      </c>
      <c r="R63" s="264" t="s">
        <v>182</v>
      </c>
    </row>
    <row r="64" spans="1:18" ht="110.25">
      <c r="A64" s="260">
        <v>39</v>
      </c>
      <c r="B64" s="260">
        <v>3</v>
      </c>
      <c r="C64" s="261">
        <v>8</v>
      </c>
      <c r="D64" s="262"/>
      <c r="E64" s="256" t="s">
        <v>368</v>
      </c>
      <c r="F64" s="378" t="s">
        <v>14</v>
      </c>
      <c r="G64" s="378" t="s">
        <v>182</v>
      </c>
      <c r="H64" s="378" t="s">
        <v>182</v>
      </c>
      <c r="I64" s="378" t="s">
        <v>182</v>
      </c>
      <c r="J64" s="378">
        <v>41</v>
      </c>
      <c r="K64" s="378">
        <v>33.299999999999997</v>
      </c>
      <c r="L64" s="255">
        <v>42</v>
      </c>
      <c r="M64" s="378" t="s">
        <v>182</v>
      </c>
      <c r="N64" s="378" t="s">
        <v>182</v>
      </c>
      <c r="O64" s="378" t="s">
        <v>182</v>
      </c>
      <c r="P64" s="378" t="s">
        <v>182</v>
      </c>
      <c r="Q64" s="378" t="s">
        <v>182</v>
      </c>
      <c r="R64" s="378" t="s">
        <v>182</v>
      </c>
    </row>
    <row r="65" spans="1:18" ht="118.5" customHeight="1">
      <c r="A65" s="260">
        <v>39</v>
      </c>
      <c r="B65" s="260">
        <v>3</v>
      </c>
      <c r="C65" s="261">
        <v>9</v>
      </c>
      <c r="D65" s="262"/>
      <c r="E65" s="256" t="s">
        <v>369</v>
      </c>
      <c r="F65" s="378" t="s">
        <v>14</v>
      </c>
      <c r="G65" s="378" t="s">
        <v>182</v>
      </c>
      <c r="H65" s="378" t="s">
        <v>182</v>
      </c>
      <c r="I65" s="378" t="s">
        <v>182</v>
      </c>
      <c r="J65" s="378">
        <v>41.5</v>
      </c>
      <c r="K65" s="378">
        <v>33.299999999999997</v>
      </c>
      <c r="L65" s="378">
        <v>42.5</v>
      </c>
      <c r="M65" s="378" t="s">
        <v>182</v>
      </c>
      <c r="N65" s="378" t="s">
        <v>182</v>
      </c>
      <c r="O65" s="378" t="s">
        <v>182</v>
      </c>
      <c r="P65" s="378" t="s">
        <v>182</v>
      </c>
      <c r="Q65" s="378" t="s">
        <v>182</v>
      </c>
      <c r="R65" s="378" t="s">
        <v>182</v>
      </c>
    </row>
    <row r="66" spans="1:18" ht="85.5" customHeight="1">
      <c r="A66" s="260">
        <v>39</v>
      </c>
      <c r="B66" s="260">
        <v>3</v>
      </c>
      <c r="C66" s="261">
        <v>10</v>
      </c>
      <c r="D66" s="262"/>
      <c r="E66" s="256" t="s">
        <v>370</v>
      </c>
      <c r="F66" s="378" t="s">
        <v>14</v>
      </c>
      <c r="G66" s="378" t="s">
        <v>182</v>
      </c>
      <c r="H66" s="378" t="s">
        <v>182</v>
      </c>
      <c r="I66" s="378" t="s">
        <v>182</v>
      </c>
      <c r="J66" s="378">
        <v>43</v>
      </c>
      <c r="K66" s="378">
        <v>100</v>
      </c>
      <c r="L66" s="255">
        <v>44</v>
      </c>
      <c r="M66" s="378" t="s">
        <v>182</v>
      </c>
      <c r="N66" s="378" t="s">
        <v>182</v>
      </c>
      <c r="O66" s="378" t="s">
        <v>182</v>
      </c>
      <c r="P66" s="378" t="s">
        <v>182</v>
      </c>
      <c r="Q66" s="378" t="s">
        <v>182</v>
      </c>
      <c r="R66" s="378" t="s">
        <v>182</v>
      </c>
    </row>
    <row r="67" spans="1:18" ht="66.75" customHeight="1">
      <c r="A67" s="260">
        <v>39</v>
      </c>
      <c r="B67" s="260">
        <v>3</v>
      </c>
      <c r="C67" s="261">
        <v>11</v>
      </c>
      <c r="D67" s="262"/>
      <c r="E67" s="256" t="s">
        <v>371</v>
      </c>
      <c r="F67" s="378" t="s">
        <v>14</v>
      </c>
      <c r="G67" s="378" t="s">
        <v>182</v>
      </c>
      <c r="H67" s="378" t="s">
        <v>182</v>
      </c>
      <c r="I67" s="378" t="s">
        <v>182</v>
      </c>
      <c r="J67" s="378">
        <v>44</v>
      </c>
      <c r="K67" s="378">
        <v>100</v>
      </c>
      <c r="L67" s="378">
        <v>45</v>
      </c>
      <c r="M67" s="378" t="s">
        <v>182</v>
      </c>
      <c r="N67" s="378" t="s">
        <v>182</v>
      </c>
      <c r="O67" s="378" t="s">
        <v>182</v>
      </c>
      <c r="P67" s="378" t="s">
        <v>182</v>
      </c>
      <c r="Q67" s="378" t="s">
        <v>182</v>
      </c>
      <c r="R67" s="378" t="s">
        <v>182</v>
      </c>
    </row>
    <row r="68" spans="1:18" ht="125.25" customHeight="1">
      <c r="A68" s="260">
        <v>39</v>
      </c>
      <c r="B68" s="260">
        <v>3</v>
      </c>
      <c r="C68" s="261">
        <v>12</v>
      </c>
      <c r="D68" s="262"/>
      <c r="E68" s="256" t="s">
        <v>372</v>
      </c>
      <c r="F68" s="378" t="s">
        <v>14</v>
      </c>
      <c r="G68" s="378" t="s">
        <v>182</v>
      </c>
      <c r="H68" s="378" t="s">
        <v>182</v>
      </c>
      <c r="I68" s="378" t="s">
        <v>182</v>
      </c>
      <c r="J68" s="378" t="s">
        <v>182</v>
      </c>
      <c r="K68" s="378">
        <v>27.6</v>
      </c>
      <c r="L68" s="378">
        <v>32.5</v>
      </c>
      <c r="M68" s="378" t="s">
        <v>182</v>
      </c>
      <c r="N68" s="378" t="s">
        <v>182</v>
      </c>
      <c r="O68" s="378" t="s">
        <v>182</v>
      </c>
      <c r="P68" s="378" t="s">
        <v>182</v>
      </c>
      <c r="Q68" s="378" t="s">
        <v>182</v>
      </c>
      <c r="R68" s="378" t="s">
        <v>182</v>
      </c>
    </row>
    <row r="69" spans="1:18" ht="69" customHeight="1">
      <c r="A69" s="260">
        <v>39</v>
      </c>
      <c r="B69" s="260">
        <v>3</v>
      </c>
      <c r="C69" s="261">
        <v>13</v>
      </c>
      <c r="D69" s="262"/>
      <c r="E69" s="256" t="s">
        <v>373</v>
      </c>
      <c r="F69" s="378" t="s">
        <v>14</v>
      </c>
      <c r="G69" s="378" t="s">
        <v>182</v>
      </c>
      <c r="H69" s="378" t="s">
        <v>182</v>
      </c>
      <c r="I69" s="378" t="s">
        <v>182</v>
      </c>
      <c r="J69" s="378">
        <v>24.8</v>
      </c>
      <c r="K69" s="255">
        <v>25</v>
      </c>
      <c r="L69" s="255">
        <v>40</v>
      </c>
      <c r="M69" s="255">
        <v>50</v>
      </c>
      <c r="N69" s="255"/>
      <c r="O69" s="255"/>
      <c r="P69" s="18"/>
      <c r="Q69" s="18"/>
      <c r="R69" s="18" t="s">
        <v>182</v>
      </c>
    </row>
    <row r="70" spans="1:18" ht="69" customHeight="1">
      <c r="A70" s="260">
        <v>39</v>
      </c>
      <c r="B70" s="260">
        <v>3</v>
      </c>
      <c r="C70" s="224">
        <v>14</v>
      </c>
      <c r="D70" s="265"/>
      <c r="E70" s="256" t="s">
        <v>374</v>
      </c>
      <c r="F70" s="365" t="s">
        <v>14</v>
      </c>
      <c r="G70" s="18">
        <v>56</v>
      </c>
      <c r="H70" s="18">
        <v>42</v>
      </c>
      <c r="I70" s="378" t="s">
        <v>182</v>
      </c>
      <c r="J70" s="378" t="s">
        <v>182</v>
      </c>
      <c r="K70" s="378" t="s">
        <v>182</v>
      </c>
      <c r="L70" s="378">
        <v>1.8</v>
      </c>
      <c r="M70" s="378">
        <v>1.9</v>
      </c>
      <c r="N70" s="255">
        <v>2</v>
      </c>
      <c r="O70" s="378">
        <v>2.1</v>
      </c>
      <c r="P70" s="17">
        <v>2.2000000000000002</v>
      </c>
      <c r="Q70" s="17">
        <v>2.2999999999999998</v>
      </c>
      <c r="R70" s="18">
        <v>2.2999999999999998</v>
      </c>
    </row>
    <row r="71" spans="1:18" ht="78.75">
      <c r="A71" s="260">
        <v>39</v>
      </c>
      <c r="B71" s="260">
        <v>3</v>
      </c>
      <c r="C71" s="224">
        <v>15</v>
      </c>
      <c r="D71" s="265"/>
      <c r="E71" s="256" t="s">
        <v>375</v>
      </c>
      <c r="F71" s="365" t="s">
        <v>14</v>
      </c>
      <c r="G71" s="18"/>
      <c r="H71" s="18"/>
      <c r="I71" s="378" t="s">
        <v>182</v>
      </c>
      <c r="J71" s="378" t="s">
        <v>182</v>
      </c>
      <c r="K71" s="378" t="s">
        <v>182</v>
      </c>
      <c r="L71" s="378">
        <v>1.2</v>
      </c>
      <c r="M71" s="378">
        <v>1.3</v>
      </c>
      <c r="N71" s="378">
        <v>1.4</v>
      </c>
      <c r="O71" s="378">
        <v>1.5</v>
      </c>
      <c r="P71" s="17">
        <v>1.6</v>
      </c>
      <c r="Q71" s="17">
        <v>1.7</v>
      </c>
      <c r="R71" s="18">
        <v>1.7</v>
      </c>
    </row>
    <row r="72" spans="1:18" ht="78.75">
      <c r="A72" s="260">
        <v>39</v>
      </c>
      <c r="B72" s="260">
        <v>3</v>
      </c>
      <c r="C72" s="224">
        <v>16</v>
      </c>
      <c r="D72" s="265"/>
      <c r="E72" s="256" t="s">
        <v>376</v>
      </c>
      <c r="F72" s="365" t="s">
        <v>14</v>
      </c>
      <c r="G72" s="18"/>
      <c r="H72" s="18"/>
      <c r="I72" s="378" t="s">
        <v>182</v>
      </c>
      <c r="J72" s="378" t="s">
        <v>182</v>
      </c>
      <c r="K72" s="378" t="s">
        <v>182</v>
      </c>
      <c r="L72" s="229">
        <v>0.6</v>
      </c>
      <c r="M72" s="229">
        <v>0.6</v>
      </c>
      <c r="N72" s="378">
        <v>0.7</v>
      </c>
      <c r="O72" s="378">
        <v>0.7</v>
      </c>
      <c r="P72" s="17">
        <v>0.8</v>
      </c>
      <c r="Q72" s="17">
        <v>0.8</v>
      </c>
      <c r="R72" s="18">
        <v>0.8</v>
      </c>
    </row>
    <row r="73" spans="1:18" ht="78.75">
      <c r="A73" s="260">
        <v>39</v>
      </c>
      <c r="B73" s="260">
        <v>3</v>
      </c>
      <c r="C73" s="224">
        <v>17</v>
      </c>
      <c r="D73" s="265"/>
      <c r="E73" s="256" t="s">
        <v>377</v>
      </c>
      <c r="F73" s="365" t="s">
        <v>14</v>
      </c>
      <c r="G73" s="18"/>
      <c r="H73" s="18"/>
      <c r="I73" s="378" t="s">
        <v>182</v>
      </c>
      <c r="J73" s="378" t="s">
        <v>182</v>
      </c>
      <c r="K73" s="378" t="s">
        <v>182</v>
      </c>
      <c r="L73" s="378">
        <v>6.3</v>
      </c>
      <c r="M73" s="378">
        <v>6.4</v>
      </c>
      <c r="N73" s="229">
        <v>6.5</v>
      </c>
      <c r="O73" s="378">
        <v>6.6</v>
      </c>
      <c r="P73" s="17">
        <v>6.7</v>
      </c>
      <c r="Q73" s="17">
        <v>6.8</v>
      </c>
      <c r="R73" s="18">
        <v>6.8</v>
      </c>
    </row>
    <row r="74" spans="1:18" ht="78.75">
      <c r="A74" s="260">
        <v>39</v>
      </c>
      <c r="B74" s="260">
        <v>3</v>
      </c>
      <c r="C74" s="224">
        <v>18</v>
      </c>
      <c r="D74" s="265"/>
      <c r="E74" s="256" t="s">
        <v>378</v>
      </c>
      <c r="F74" s="365" t="s">
        <v>14</v>
      </c>
      <c r="G74" s="18"/>
      <c r="H74" s="18"/>
      <c r="I74" s="378" t="s">
        <v>182</v>
      </c>
      <c r="J74" s="378" t="s">
        <v>182</v>
      </c>
      <c r="K74" s="378" t="s">
        <v>182</v>
      </c>
      <c r="L74" s="378">
        <v>0.8</v>
      </c>
      <c r="M74" s="378">
        <v>0.8</v>
      </c>
      <c r="N74" s="378">
        <v>0.9</v>
      </c>
      <c r="O74" s="229">
        <v>0.9</v>
      </c>
      <c r="P74" s="18">
        <v>1</v>
      </c>
      <c r="Q74" s="18">
        <v>1</v>
      </c>
      <c r="R74" s="18">
        <v>1</v>
      </c>
    </row>
    <row r="75" spans="1:18" ht="78.75">
      <c r="A75" s="260">
        <v>39</v>
      </c>
      <c r="B75" s="260">
        <v>3</v>
      </c>
      <c r="C75" s="224">
        <v>19</v>
      </c>
      <c r="D75" s="265"/>
      <c r="E75" s="256" t="s">
        <v>379</v>
      </c>
      <c r="F75" s="365" t="s">
        <v>14</v>
      </c>
      <c r="G75" s="18" t="s">
        <v>182</v>
      </c>
      <c r="H75" s="18" t="s">
        <v>182</v>
      </c>
      <c r="I75" s="378" t="s">
        <v>182</v>
      </c>
      <c r="J75" s="378" t="s">
        <v>182</v>
      </c>
      <c r="K75" s="378" t="s">
        <v>182</v>
      </c>
      <c r="L75" s="378">
        <v>7.0000000000000007E-2</v>
      </c>
      <c r="M75" s="378">
        <v>7.0000000000000007E-2</v>
      </c>
      <c r="N75" s="378">
        <v>0.08</v>
      </c>
      <c r="O75" s="378">
        <v>0.08</v>
      </c>
      <c r="P75" s="229">
        <v>0.09</v>
      </c>
      <c r="Q75" s="229">
        <v>0.09</v>
      </c>
      <c r="R75" s="229">
        <v>0.09</v>
      </c>
    </row>
    <row r="76" spans="1:18" ht="126" customHeight="1">
      <c r="A76" s="260">
        <v>39</v>
      </c>
      <c r="B76" s="260">
        <v>3</v>
      </c>
      <c r="C76" s="224">
        <v>20</v>
      </c>
      <c r="D76" s="265"/>
      <c r="E76" s="256" t="s">
        <v>380</v>
      </c>
      <c r="F76" s="365" t="s">
        <v>14</v>
      </c>
      <c r="G76" s="18" t="s">
        <v>182</v>
      </c>
      <c r="H76" s="18" t="s">
        <v>182</v>
      </c>
      <c r="I76" s="378" t="s">
        <v>182</v>
      </c>
      <c r="J76" s="378" t="s">
        <v>182</v>
      </c>
      <c r="K76" s="378" t="s">
        <v>182</v>
      </c>
      <c r="L76" s="378">
        <v>1.3</v>
      </c>
      <c r="M76" s="378">
        <v>1.4</v>
      </c>
      <c r="N76" s="378">
        <v>1.4</v>
      </c>
      <c r="O76" s="378">
        <v>1.5</v>
      </c>
      <c r="P76" s="229">
        <v>1.5</v>
      </c>
      <c r="Q76" s="229">
        <v>1.6</v>
      </c>
      <c r="R76" s="18">
        <v>1.6</v>
      </c>
    </row>
    <row r="77" spans="1:18" ht="78.75">
      <c r="A77" s="260">
        <v>39</v>
      </c>
      <c r="B77" s="260">
        <v>3</v>
      </c>
      <c r="C77" s="224">
        <v>21</v>
      </c>
      <c r="D77" s="265"/>
      <c r="E77" s="256" t="s">
        <v>381</v>
      </c>
      <c r="F77" s="365" t="s">
        <v>14</v>
      </c>
      <c r="G77" s="18" t="s">
        <v>182</v>
      </c>
      <c r="H77" s="18" t="s">
        <v>182</v>
      </c>
      <c r="I77" s="378" t="s">
        <v>182</v>
      </c>
      <c r="J77" s="378" t="s">
        <v>182</v>
      </c>
      <c r="K77" s="378" t="s">
        <v>182</v>
      </c>
      <c r="L77" s="378">
        <v>6.4</v>
      </c>
      <c r="M77" s="378">
        <v>6.5</v>
      </c>
      <c r="N77" s="378">
        <v>6.5</v>
      </c>
      <c r="O77" s="378">
        <v>6.6</v>
      </c>
      <c r="P77" s="229">
        <v>6.6</v>
      </c>
      <c r="Q77" s="229">
        <v>6.7</v>
      </c>
      <c r="R77" s="18">
        <v>6.7</v>
      </c>
    </row>
    <row r="78" spans="1:18" ht="78.75">
      <c r="A78" s="260">
        <v>39</v>
      </c>
      <c r="B78" s="260">
        <v>3</v>
      </c>
      <c r="C78" s="224">
        <v>22</v>
      </c>
      <c r="D78" s="265"/>
      <c r="E78" s="256" t="s">
        <v>382</v>
      </c>
      <c r="F78" s="365" t="s">
        <v>14</v>
      </c>
      <c r="G78" s="18" t="s">
        <v>182</v>
      </c>
      <c r="H78" s="18" t="s">
        <v>182</v>
      </c>
      <c r="I78" s="378" t="s">
        <v>182</v>
      </c>
      <c r="J78" s="378" t="s">
        <v>182</v>
      </c>
      <c r="K78" s="378" t="s">
        <v>182</v>
      </c>
      <c r="L78" s="378">
        <v>0.2</v>
      </c>
      <c r="M78" s="378">
        <v>0.2</v>
      </c>
      <c r="N78" s="378">
        <v>0.3</v>
      </c>
      <c r="O78" s="378">
        <v>0.3</v>
      </c>
      <c r="P78" s="229">
        <v>0.3</v>
      </c>
      <c r="Q78" s="229">
        <v>0.4</v>
      </c>
      <c r="R78" s="18">
        <v>0.4</v>
      </c>
    </row>
    <row r="79" spans="1:18" ht="78.75">
      <c r="A79" s="260">
        <v>39</v>
      </c>
      <c r="B79" s="260">
        <v>3</v>
      </c>
      <c r="C79" s="224">
        <v>23</v>
      </c>
      <c r="D79" s="265"/>
      <c r="E79" s="256" t="s">
        <v>383</v>
      </c>
      <c r="F79" s="365" t="s">
        <v>14</v>
      </c>
      <c r="G79" s="18" t="s">
        <v>182</v>
      </c>
      <c r="H79" s="18" t="s">
        <v>182</v>
      </c>
      <c r="I79" s="378" t="s">
        <v>182</v>
      </c>
      <c r="J79" s="378" t="s">
        <v>182</v>
      </c>
      <c r="K79" s="378" t="s">
        <v>182</v>
      </c>
      <c r="L79" s="378">
        <v>11</v>
      </c>
      <c r="M79" s="378">
        <v>11.5</v>
      </c>
      <c r="N79" s="378">
        <v>12</v>
      </c>
      <c r="O79" s="378">
        <v>12.5</v>
      </c>
      <c r="P79" s="229">
        <v>13</v>
      </c>
      <c r="Q79" s="229">
        <v>13.5</v>
      </c>
      <c r="R79" s="18">
        <v>13.5</v>
      </c>
    </row>
    <row r="80" spans="1:18" ht="78.75">
      <c r="A80" s="260">
        <v>39</v>
      </c>
      <c r="B80" s="260">
        <v>3</v>
      </c>
      <c r="C80" s="224">
        <v>24</v>
      </c>
      <c r="D80" s="265"/>
      <c r="E80" s="256" t="s">
        <v>384</v>
      </c>
      <c r="F80" s="365" t="s">
        <v>14</v>
      </c>
      <c r="G80" s="18" t="s">
        <v>182</v>
      </c>
      <c r="H80" s="18" t="s">
        <v>182</v>
      </c>
      <c r="I80" s="378" t="s">
        <v>182</v>
      </c>
      <c r="J80" s="378" t="s">
        <v>182</v>
      </c>
      <c r="K80" s="378" t="s">
        <v>182</v>
      </c>
      <c r="L80" s="378">
        <v>5.6</v>
      </c>
      <c r="M80" s="378">
        <v>5.6</v>
      </c>
      <c r="N80" s="378">
        <v>5.7</v>
      </c>
      <c r="O80" s="378">
        <v>5.7</v>
      </c>
      <c r="P80" s="229">
        <v>5.8</v>
      </c>
      <c r="Q80" s="229">
        <v>5.8</v>
      </c>
      <c r="R80" s="18">
        <v>5.8</v>
      </c>
    </row>
    <row r="81" spans="1:18" ht="78.75">
      <c r="A81" s="260">
        <v>39</v>
      </c>
      <c r="B81" s="260">
        <v>3</v>
      </c>
      <c r="C81" s="224">
        <v>25</v>
      </c>
      <c r="D81" s="265"/>
      <c r="E81" s="256" t="s">
        <v>385</v>
      </c>
      <c r="F81" s="365" t="s">
        <v>14</v>
      </c>
      <c r="G81" s="18" t="s">
        <v>182</v>
      </c>
      <c r="H81" s="18" t="s">
        <v>182</v>
      </c>
      <c r="I81" s="378" t="s">
        <v>182</v>
      </c>
      <c r="J81" s="378" t="s">
        <v>182</v>
      </c>
      <c r="K81" s="378" t="s">
        <v>182</v>
      </c>
      <c r="L81" s="378">
        <v>0.3</v>
      </c>
      <c r="M81" s="378">
        <v>0.3</v>
      </c>
      <c r="N81" s="378">
        <v>0.4</v>
      </c>
      <c r="O81" s="378">
        <v>0.4</v>
      </c>
      <c r="P81" s="229">
        <v>0.5</v>
      </c>
      <c r="Q81" s="229">
        <v>0.5</v>
      </c>
      <c r="R81" s="18">
        <v>0.5</v>
      </c>
    </row>
    <row r="82" spans="1:18" ht="78.75">
      <c r="A82" s="260">
        <v>39</v>
      </c>
      <c r="B82" s="260">
        <v>3</v>
      </c>
      <c r="C82" s="224">
        <v>26</v>
      </c>
      <c r="D82" s="265"/>
      <c r="E82" s="256" t="s">
        <v>386</v>
      </c>
      <c r="F82" s="365" t="s">
        <v>14</v>
      </c>
      <c r="G82" s="18" t="s">
        <v>182</v>
      </c>
      <c r="H82" s="18" t="s">
        <v>182</v>
      </c>
      <c r="I82" s="378" t="s">
        <v>182</v>
      </c>
      <c r="J82" s="378" t="s">
        <v>182</v>
      </c>
      <c r="K82" s="378" t="s">
        <v>182</v>
      </c>
      <c r="L82" s="378">
        <v>69</v>
      </c>
      <c r="M82" s="378">
        <v>70</v>
      </c>
      <c r="N82" s="378">
        <v>71</v>
      </c>
      <c r="O82" s="378">
        <v>72</v>
      </c>
      <c r="P82" s="229">
        <v>73</v>
      </c>
      <c r="Q82" s="229">
        <v>74</v>
      </c>
      <c r="R82" s="18">
        <v>74</v>
      </c>
    </row>
    <row r="83" spans="1:18" ht="78.75">
      <c r="A83" s="260">
        <v>39</v>
      </c>
      <c r="B83" s="260">
        <v>3</v>
      </c>
      <c r="C83" s="224">
        <v>27</v>
      </c>
      <c r="D83" s="265"/>
      <c r="E83" s="256" t="s">
        <v>387</v>
      </c>
      <c r="F83" s="365" t="s">
        <v>14</v>
      </c>
      <c r="G83" s="18" t="s">
        <v>182</v>
      </c>
      <c r="H83" s="18" t="s">
        <v>182</v>
      </c>
      <c r="I83" s="378" t="s">
        <v>182</v>
      </c>
      <c r="J83" s="378" t="s">
        <v>182</v>
      </c>
      <c r="K83" s="378" t="s">
        <v>182</v>
      </c>
      <c r="L83" s="378">
        <v>34</v>
      </c>
      <c r="M83" s="378">
        <v>35</v>
      </c>
      <c r="N83" s="378">
        <v>35</v>
      </c>
      <c r="O83" s="378">
        <v>38</v>
      </c>
      <c r="P83" s="229">
        <v>38</v>
      </c>
      <c r="Q83" s="229">
        <v>38</v>
      </c>
      <c r="R83" s="18">
        <v>38</v>
      </c>
    </row>
    <row r="84" spans="1:18" ht="94.5">
      <c r="A84" s="260">
        <v>39</v>
      </c>
      <c r="B84" s="260">
        <v>3</v>
      </c>
      <c r="C84" s="224">
        <v>28</v>
      </c>
      <c r="D84" s="265"/>
      <c r="E84" s="256" t="s">
        <v>388</v>
      </c>
      <c r="F84" s="365" t="s">
        <v>14</v>
      </c>
      <c r="G84" s="18" t="s">
        <v>182</v>
      </c>
      <c r="H84" s="18" t="s">
        <v>182</v>
      </c>
      <c r="I84" s="378" t="s">
        <v>182</v>
      </c>
      <c r="J84" s="378" t="s">
        <v>182</v>
      </c>
      <c r="K84" s="378" t="s">
        <v>182</v>
      </c>
      <c r="L84" s="378">
        <v>60</v>
      </c>
      <c r="M84" s="378">
        <v>61</v>
      </c>
      <c r="N84" s="378">
        <v>62</v>
      </c>
      <c r="O84" s="378">
        <v>63</v>
      </c>
      <c r="P84" s="229">
        <v>64</v>
      </c>
      <c r="Q84" s="229">
        <v>65</v>
      </c>
      <c r="R84" s="18">
        <v>65</v>
      </c>
    </row>
    <row r="85" spans="1:18" ht="94.5">
      <c r="A85" s="260">
        <v>39</v>
      </c>
      <c r="B85" s="260">
        <v>3</v>
      </c>
      <c r="C85" s="224">
        <v>29</v>
      </c>
      <c r="D85" s="265"/>
      <c r="E85" s="256" t="s">
        <v>389</v>
      </c>
      <c r="F85" s="365" t="s">
        <v>14</v>
      </c>
      <c r="G85" s="18" t="s">
        <v>182</v>
      </c>
      <c r="H85" s="18" t="s">
        <v>182</v>
      </c>
      <c r="I85" s="378" t="s">
        <v>182</v>
      </c>
      <c r="J85" s="378" t="s">
        <v>182</v>
      </c>
      <c r="K85" s="378" t="s">
        <v>182</v>
      </c>
      <c r="L85" s="378">
        <v>70</v>
      </c>
      <c r="M85" s="378">
        <v>70</v>
      </c>
      <c r="N85" s="378">
        <v>70.5</v>
      </c>
      <c r="O85" s="378">
        <v>70.5</v>
      </c>
      <c r="P85" s="229">
        <v>71</v>
      </c>
      <c r="Q85" s="229">
        <v>71</v>
      </c>
      <c r="R85" s="18">
        <v>71</v>
      </c>
    </row>
    <row r="86" spans="1:18" ht="94.5">
      <c r="A86" s="260">
        <v>39</v>
      </c>
      <c r="B86" s="260">
        <v>3</v>
      </c>
      <c r="C86" s="224">
        <v>30</v>
      </c>
      <c r="D86" s="265"/>
      <c r="E86" s="256" t="s">
        <v>390</v>
      </c>
      <c r="F86" s="365" t="s">
        <v>14</v>
      </c>
      <c r="G86" s="18" t="s">
        <v>182</v>
      </c>
      <c r="H86" s="18" t="s">
        <v>182</v>
      </c>
      <c r="I86" s="378" t="s">
        <v>182</v>
      </c>
      <c r="J86" s="378" t="s">
        <v>182</v>
      </c>
      <c r="K86" s="378" t="s">
        <v>182</v>
      </c>
      <c r="L86" s="378">
        <v>70</v>
      </c>
      <c r="M86" s="378">
        <v>70</v>
      </c>
      <c r="N86" s="378">
        <v>70.5</v>
      </c>
      <c r="O86" s="378">
        <v>70.5</v>
      </c>
      <c r="P86" s="229">
        <v>71</v>
      </c>
      <c r="Q86" s="229">
        <v>71</v>
      </c>
      <c r="R86" s="18">
        <v>71</v>
      </c>
    </row>
    <row r="87" spans="1:18" ht="63">
      <c r="A87" s="260">
        <v>39</v>
      </c>
      <c r="B87" s="260">
        <v>3</v>
      </c>
      <c r="C87" s="224">
        <v>31</v>
      </c>
      <c r="D87" s="265"/>
      <c r="E87" s="256" t="s">
        <v>391</v>
      </c>
      <c r="F87" s="365" t="s">
        <v>14</v>
      </c>
      <c r="G87" s="18" t="s">
        <v>182</v>
      </c>
      <c r="H87" s="18" t="s">
        <v>182</v>
      </c>
      <c r="I87" s="378" t="s">
        <v>182</v>
      </c>
      <c r="J87" s="378" t="s">
        <v>182</v>
      </c>
      <c r="K87" s="378" t="s">
        <v>182</v>
      </c>
      <c r="L87" s="378">
        <v>19.600000000000001</v>
      </c>
      <c r="M87" s="378">
        <v>19.7</v>
      </c>
      <c r="N87" s="378">
        <v>19.8</v>
      </c>
      <c r="O87" s="378">
        <v>19.899999999999999</v>
      </c>
      <c r="P87" s="229">
        <v>20</v>
      </c>
      <c r="Q87" s="229">
        <v>20.100000000000001</v>
      </c>
      <c r="R87" s="18">
        <v>20.100000000000001</v>
      </c>
    </row>
    <row r="88" spans="1:18" ht="63">
      <c r="A88" s="260">
        <v>39</v>
      </c>
      <c r="B88" s="260">
        <v>3</v>
      </c>
      <c r="C88" s="224">
        <v>32</v>
      </c>
      <c r="D88" s="265"/>
      <c r="E88" s="256" t="s">
        <v>392</v>
      </c>
      <c r="F88" s="365" t="s">
        <v>14</v>
      </c>
      <c r="G88" s="18" t="s">
        <v>182</v>
      </c>
      <c r="H88" s="18" t="s">
        <v>182</v>
      </c>
      <c r="I88" s="378" t="s">
        <v>182</v>
      </c>
      <c r="J88" s="378" t="s">
        <v>182</v>
      </c>
      <c r="K88" s="378" t="s">
        <v>182</v>
      </c>
      <c r="L88" s="378">
        <v>52</v>
      </c>
      <c r="M88" s="378">
        <v>52</v>
      </c>
      <c r="N88" s="378">
        <v>52.5</v>
      </c>
      <c r="O88" s="378">
        <v>52.5</v>
      </c>
      <c r="P88" s="229">
        <v>53</v>
      </c>
      <c r="Q88" s="229">
        <v>53</v>
      </c>
      <c r="R88" s="18">
        <v>53</v>
      </c>
    </row>
    <row r="89" spans="1:18" ht="63">
      <c r="A89" s="260">
        <v>39</v>
      </c>
      <c r="B89" s="260">
        <v>3</v>
      </c>
      <c r="C89" s="224">
        <v>33</v>
      </c>
      <c r="D89" s="265"/>
      <c r="E89" s="256" t="s">
        <v>393</v>
      </c>
      <c r="F89" s="365" t="s">
        <v>14</v>
      </c>
      <c r="G89" s="18" t="s">
        <v>182</v>
      </c>
      <c r="H89" s="18" t="s">
        <v>182</v>
      </c>
      <c r="I89" s="378" t="s">
        <v>182</v>
      </c>
      <c r="J89" s="378" t="s">
        <v>182</v>
      </c>
      <c r="K89" s="378" t="s">
        <v>182</v>
      </c>
      <c r="L89" s="378">
        <v>14.7</v>
      </c>
      <c r="M89" s="378">
        <v>14.8</v>
      </c>
      <c r="N89" s="378">
        <v>14.9</v>
      </c>
      <c r="O89" s="378">
        <v>15</v>
      </c>
      <c r="P89" s="229">
        <v>15.1</v>
      </c>
      <c r="Q89" s="229">
        <v>15.2</v>
      </c>
      <c r="R89" s="18">
        <v>15.2</v>
      </c>
    </row>
    <row r="90" spans="1:18" ht="63">
      <c r="A90" s="260">
        <v>39</v>
      </c>
      <c r="B90" s="260">
        <v>3</v>
      </c>
      <c r="C90" s="224">
        <v>34</v>
      </c>
      <c r="D90" s="265"/>
      <c r="E90" s="256" t="s">
        <v>394</v>
      </c>
      <c r="F90" s="365" t="s">
        <v>14</v>
      </c>
      <c r="G90" s="18" t="s">
        <v>182</v>
      </c>
      <c r="H90" s="18" t="s">
        <v>182</v>
      </c>
      <c r="I90" s="378" t="s">
        <v>182</v>
      </c>
      <c r="J90" s="378" t="s">
        <v>182</v>
      </c>
      <c r="K90" s="378" t="s">
        <v>182</v>
      </c>
      <c r="L90" s="378">
        <v>50</v>
      </c>
      <c r="M90" s="378">
        <v>50</v>
      </c>
      <c r="N90" s="378">
        <v>50.5</v>
      </c>
      <c r="O90" s="378">
        <v>50.5</v>
      </c>
      <c r="P90" s="229">
        <v>51</v>
      </c>
      <c r="Q90" s="229">
        <v>51</v>
      </c>
      <c r="R90" s="18">
        <v>51</v>
      </c>
    </row>
    <row r="91" spans="1:18" ht="63">
      <c r="A91" s="260">
        <v>39</v>
      </c>
      <c r="B91" s="260">
        <v>3</v>
      </c>
      <c r="C91" s="224">
        <v>35</v>
      </c>
      <c r="D91" s="265"/>
      <c r="E91" s="256" t="s">
        <v>395</v>
      </c>
      <c r="F91" s="365" t="s">
        <v>14</v>
      </c>
      <c r="G91" s="18" t="s">
        <v>182</v>
      </c>
      <c r="H91" s="18" t="s">
        <v>182</v>
      </c>
      <c r="I91" s="378" t="s">
        <v>182</v>
      </c>
      <c r="J91" s="378" t="s">
        <v>182</v>
      </c>
      <c r="K91" s="378" t="s">
        <v>182</v>
      </c>
      <c r="L91" s="378">
        <v>17.100000000000001</v>
      </c>
      <c r="M91" s="378">
        <v>17.2</v>
      </c>
      <c r="N91" s="378">
        <v>17.3</v>
      </c>
      <c r="O91" s="378">
        <v>17.399999999999999</v>
      </c>
      <c r="P91" s="229">
        <v>17.5</v>
      </c>
      <c r="Q91" s="229">
        <v>17.600000000000001</v>
      </c>
      <c r="R91" s="18">
        <v>17.600000000000001</v>
      </c>
    </row>
    <row r="92" spans="1:18" ht="78.75">
      <c r="A92" s="260">
        <v>39</v>
      </c>
      <c r="B92" s="260">
        <v>3</v>
      </c>
      <c r="C92" s="224">
        <v>36</v>
      </c>
      <c r="D92" s="265"/>
      <c r="E92" s="256" t="s">
        <v>396</v>
      </c>
      <c r="F92" s="365" t="s">
        <v>14</v>
      </c>
      <c r="G92" s="18" t="s">
        <v>182</v>
      </c>
      <c r="H92" s="18" t="s">
        <v>182</v>
      </c>
      <c r="I92" s="378" t="s">
        <v>182</v>
      </c>
      <c r="J92" s="378" t="s">
        <v>182</v>
      </c>
      <c r="K92" s="378" t="s">
        <v>182</v>
      </c>
      <c r="L92" s="378">
        <v>46</v>
      </c>
      <c r="M92" s="378">
        <v>46.2</v>
      </c>
      <c r="N92" s="378">
        <v>46.5</v>
      </c>
      <c r="O92" s="378">
        <v>46.7</v>
      </c>
      <c r="P92" s="229">
        <v>46.9</v>
      </c>
      <c r="Q92" s="229">
        <v>47.1</v>
      </c>
      <c r="R92" s="18">
        <v>47.1</v>
      </c>
    </row>
    <row r="93" spans="1:18" ht="63">
      <c r="A93" s="260">
        <v>39</v>
      </c>
      <c r="B93" s="260">
        <v>3</v>
      </c>
      <c r="C93" s="224">
        <v>37</v>
      </c>
      <c r="D93" s="265"/>
      <c r="E93" s="256" t="s">
        <v>397</v>
      </c>
      <c r="F93" s="365" t="s">
        <v>14</v>
      </c>
      <c r="G93" s="18" t="s">
        <v>182</v>
      </c>
      <c r="H93" s="18" t="s">
        <v>182</v>
      </c>
      <c r="I93" s="378" t="s">
        <v>182</v>
      </c>
      <c r="J93" s="378" t="s">
        <v>182</v>
      </c>
      <c r="K93" s="378" t="s">
        <v>182</v>
      </c>
      <c r="L93" s="378">
        <v>19.600000000000001</v>
      </c>
      <c r="M93" s="378">
        <v>19.7</v>
      </c>
      <c r="N93" s="378">
        <v>19.8</v>
      </c>
      <c r="O93" s="378">
        <v>19.899999999999999</v>
      </c>
      <c r="P93" s="229">
        <v>20</v>
      </c>
      <c r="Q93" s="229">
        <v>20.100000000000001</v>
      </c>
      <c r="R93" s="18">
        <v>20.100000000000001</v>
      </c>
    </row>
    <row r="94" spans="1:18" ht="63">
      <c r="A94" s="260">
        <v>39</v>
      </c>
      <c r="B94" s="260">
        <v>3</v>
      </c>
      <c r="C94" s="224">
        <v>38</v>
      </c>
      <c r="D94" s="265"/>
      <c r="E94" s="256" t="s">
        <v>251</v>
      </c>
      <c r="F94" s="365" t="s">
        <v>14</v>
      </c>
      <c r="G94" s="18" t="s">
        <v>182</v>
      </c>
      <c r="H94" s="18" t="s">
        <v>182</v>
      </c>
      <c r="I94" s="378" t="s">
        <v>182</v>
      </c>
      <c r="J94" s="378" t="s">
        <v>182</v>
      </c>
      <c r="K94" s="378" t="s">
        <v>182</v>
      </c>
      <c r="L94" s="378">
        <v>23</v>
      </c>
      <c r="M94" s="378">
        <v>23</v>
      </c>
      <c r="N94" s="378">
        <v>23.5</v>
      </c>
      <c r="O94" s="378">
        <v>23.5</v>
      </c>
      <c r="P94" s="229">
        <v>24</v>
      </c>
      <c r="Q94" s="229">
        <v>24</v>
      </c>
      <c r="R94" s="18">
        <v>24</v>
      </c>
    </row>
    <row r="95" spans="1:18" ht="65.25" customHeight="1">
      <c r="A95" s="260">
        <v>39</v>
      </c>
      <c r="B95" s="260">
        <v>3</v>
      </c>
      <c r="C95" s="224">
        <v>39</v>
      </c>
      <c r="D95" s="265"/>
      <c r="E95" s="256" t="s">
        <v>398</v>
      </c>
      <c r="F95" s="365" t="s">
        <v>162</v>
      </c>
      <c r="G95" s="18" t="s">
        <v>182</v>
      </c>
      <c r="H95" s="18" t="s">
        <v>182</v>
      </c>
      <c r="I95" s="378" t="s">
        <v>182</v>
      </c>
      <c r="J95" s="378" t="s">
        <v>182</v>
      </c>
      <c r="K95" s="378" t="s">
        <v>182</v>
      </c>
      <c r="L95" s="378">
        <v>30</v>
      </c>
      <c r="M95" s="378">
        <v>34</v>
      </c>
      <c r="N95" s="378">
        <v>32</v>
      </c>
      <c r="O95" s="378">
        <v>45</v>
      </c>
      <c r="P95" s="229">
        <v>48</v>
      </c>
      <c r="Q95" s="229">
        <v>50</v>
      </c>
      <c r="R95" s="18">
        <v>50</v>
      </c>
    </row>
    <row r="96" spans="1:18" ht="70.5" customHeight="1">
      <c r="A96" s="260">
        <v>39</v>
      </c>
      <c r="B96" s="260">
        <v>3</v>
      </c>
      <c r="C96" s="224">
        <v>40</v>
      </c>
      <c r="D96" s="281"/>
      <c r="E96" s="256" t="s">
        <v>399</v>
      </c>
      <c r="F96" s="365" t="s">
        <v>162</v>
      </c>
      <c r="G96" s="18" t="s">
        <v>182</v>
      </c>
      <c r="H96" s="18" t="s">
        <v>182</v>
      </c>
      <c r="I96" s="378" t="s">
        <v>182</v>
      </c>
      <c r="J96" s="378" t="s">
        <v>182</v>
      </c>
      <c r="K96" s="378" t="s">
        <v>182</v>
      </c>
      <c r="L96" s="378">
        <v>47</v>
      </c>
      <c r="M96" s="378">
        <v>77</v>
      </c>
      <c r="N96" s="378">
        <v>78</v>
      </c>
      <c r="O96" s="378">
        <v>85</v>
      </c>
      <c r="P96" s="229">
        <v>90</v>
      </c>
      <c r="Q96" s="229">
        <v>95</v>
      </c>
      <c r="R96" s="18">
        <v>95</v>
      </c>
    </row>
    <row r="97" spans="6:18" ht="18.75">
      <c r="R97" s="362" t="s">
        <v>441</v>
      </c>
    </row>
    <row r="98" spans="6:18">
      <c r="F98" s="204"/>
    </row>
  </sheetData>
  <mergeCells count="23">
    <mergeCell ref="A45:R45"/>
    <mergeCell ref="D22:D25"/>
    <mergeCell ref="D27:D44"/>
    <mergeCell ref="G18:R18"/>
    <mergeCell ref="A21:R21"/>
    <mergeCell ref="A26:R26"/>
    <mergeCell ref="A18:B19"/>
    <mergeCell ref="C18:C20"/>
    <mergeCell ref="E18:E20"/>
    <mergeCell ref="F18:F20"/>
    <mergeCell ref="D18:D20"/>
    <mergeCell ref="N1:P1"/>
    <mergeCell ref="F16:O16"/>
    <mergeCell ref="A14:B14"/>
    <mergeCell ref="F14:O14"/>
    <mergeCell ref="F13:O13"/>
    <mergeCell ref="F15:O15"/>
    <mergeCell ref="A11:O11"/>
    <mergeCell ref="D46:D49"/>
    <mergeCell ref="D50:D52"/>
    <mergeCell ref="D54:D55"/>
    <mergeCell ref="A56:R56"/>
    <mergeCell ref="D57:D62"/>
  </mergeCells>
  <printOptions horizontalCentered="1"/>
  <pageMargins left="0.27559055118110237" right="0.11811023622047245" top="0.39370078740157483" bottom="0.15748031496062992" header="0.19685039370078741" footer="0.11811023622047245"/>
  <pageSetup paperSize="9" scale="65" fitToHeight="3" orientation="landscape" r:id="rId1"/>
  <headerFooter differentFirst="1">
    <oddHeader>&amp;C&amp;P</oddHeader>
  </headerFooter>
  <rowBreaks count="9" manualBreakCount="9">
    <brk id="24" max="17" man="1"/>
    <brk id="33" max="17" man="1"/>
    <brk id="40" max="17" man="1"/>
    <brk id="50" max="17" man="1"/>
    <brk id="57" max="17" man="1"/>
    <brk id="64" max="17" man="1"/>
    <brk id="72" max="17" man="1"/>
    <brk id="80" max="17" man="1"/>
    <brk id="88" max="17" man="1"/>
  </rowBreaks>
</worksheet>
</file>

<file path=xl/worksheets/sheet10.xml><?xml version="1.0" encoding="utf-8"?>
<worksheet xmlns="http://schemas.openxmlformats.org/spreadsheetml/2006/main" xmlns:r="http://schemas.openxmlformats.org/officeDocument/2006/relationships">
  <dimension ref="A1:O36"/>
  <sheetViews>
    <sheetView tabSelected="1" view="pageBreakPreview" topLeftCell="A28" zoomScale="73" zoomScaleNormal="62" zoomScaleSheetLayoutView="73" workbookViewId="0">
      <selection activeCell="F28" sqref="F28"/>
    </sheetView>
  </sheetViews>
  <sheetFormatPr defaultColWidth="9.140625" defaultRowHeight="12.75"/>
  <cols>
    <col min="1" max="1" width="5.85546875" style="383" customWidth="1"/>
    <col min="2" max="2" width="7.140625" style="383" customWidth="1"/>
    <col min="3" max="3" width="6.85546875" style="383" customWidth="1"/>
    <col min="4" max="4" width="6" style="384" customWidth="1"/>
    <col min="5" max="5" width="35.140625" style="384" customWidth="1"/>
    <col min="6" max="6" width="12.28515625" style="415" customWidth="1"/>
    <col min="7" max="7" width="30.28515625" style="385" customWidth="1"/>
    <col min="8" max="8" width="20.7109375" style="384" customWidth="1"/>
    <col min="9" max="9" width="10.42578125" style="384" customWidth="1"/>
    <col min="10" max="10" width="9.28515625" style="384" customWidth="1"/>
    <col min="11" max="11" width="11.42578125" style="384" customWidth="1"/>
    <col min="12" max="13" width="10.42578125" style="384" customWidth="1"/>
    <col min="14" max="14" width="14.7109375" style="383" customWidth="1"/>
    <col min="15" max="15" width="32.5703125" style="387" hidden="1" customWidth="1"/>
    <col min="16" max="16384" width="9.140625" style="387"/>
  </cols>
  <sheetData>
    <row r="1" spans="1:14" ht="18.75">
      <c r="J1" s="386"/>
      <c r="K1" s="386"/>
      <c r="L1" s="416"/>
      <c r="M1" s="386" t="s">
        <v>466</v>
      </c>
      <c r="N1" s="386"/>
    </row>
    <row r="2" spans="1:14" ht="18.75">
      <c r="J2" s="386"/>
      <c r="K2" s="386"/>
      <c r="L2" s="416"/>
      <c r="M2" s="386" t="s">
        <v>431</v>
      </c>
      <c r="N2" s="386"/>
    </row>
    <row r="3" spans="1:14" ht="18.75">
      <c r="J3" s="388"/>
      <c r="K3" s="388"/>
      <c r="L3" s="416"/>
      <c r="M3" s="388" t="s">
        <v>432</v>
      </c>
      <c r="N3" s="388"/>
    </row>
    <row r="4" spans="1:14" ht="18.75">
      <c r="H4" s="388"/>
      <c r="I4" s="388"/>
      <c r="J4" s="388"/>
      <c r="K4" s="388"/>
      <c r="L4" s="416"/>
      <c r="M4" s="388" t="s">
        <v>617</v>
      </c>
      <c r="N4" s="388"/>
    </row>
    <row r="5" spans="1:14">
      <c r="L5" s="416"/>
      <c r="N5" s="384"/>
    </row>
    <row r="6" spans="1:14">
      <c r="L6" s="416"/>
      <c r="N6" s="384"/>
    </row>
    <row r="7" spans="1:14" ht="18.75">
      <c r="H7" s="389"/>
      <c r="I7" s="389"/>
      <c r="J7" s="389"/>
      <c r="K7" s="389"/>
      <c r="L7" s="416"/>
      <c r="M7" s="389" t="s">
        <v>634</v>
      </c>
      <c r="N7" s="389"/>
    </row>
    <row r="8" spans="1:14" ht="18.75">
      <c r="H8" s="386"/>
      <c r="I8" s="386"/>
      <c r="J8" s="386"/>
      <c r="K8" s="386"/>
      <c r="L8" s="416"/>
      <c r="M8" s="386" t="s">
        <v>172</v>
      </c>
      <c r="N8" s="386"/>
    </row>
    <row r="9" spans="1:14" ht="18.75" customHeight="1">
      <c r="E9" s="384" t="s">
        <v>618</v>
      </c>
      <c r="H9" s="390"/>
      <c r="I9" s="390"/>
      <c r="J9" s="390"/>
      <c r="K9" s="390"/>
      <c r="L9" s="676" t="s">
        <v>184</v>
      </c>
      <c r="M9" s="676"/>
      <c r="N9" s="676"/>
    </row>
    <row r="10" spans="1:14" ht="18.75">
      <c r="H10" s="390"/>
      <c r="I10" s="390"/>
      <c r="J10" s="390"/>
      <c r="K10" s="390"/>
      <c r="L10" s="390"/>
      <c r="M10" s="390"/>
      <c r="N10" s="390"/>
    </row>
    <row r="11" spans="1:14" ht="18.75">
      <c r="A11" s="677" t="s">
        <v>619</v>
      </c>
      <c r="B11" s="677"/>
      <c r="C11" s="677"/>
      <c r="D11" s="677"/>
      <c r="E11" s="677"/>
      <c r="F11" s="677"/>
      <c r="G11" s="677"/>
      <c r="H11" s="677"/>
      <c r="I11" s="677"/>
      <c r="J11" s="677"/>
      <c r="K11" s="677"/>
      <c r="L11" s="677"/>
      <c r="M11" s="677"/>
      <c r="N11" s="677"/>
    </row>
    <row r="12" spans="1:14">
      <c r="A12" s="391"/>
      <c r="B12" s="391"/>
      <c r="C12" s="391"/>
      <c r="D12" s="392"/>
      <c r="E12" s="392"/>
      <c r="F12" s="417"/>
    </row>
    <row r="13" spans="1:14" ht="19.5">
      <c r="A13" s="393" t="s">
        <v>0</v>
      </c>
      <c r="B13" s="393"/>
      <c r="C13" s="394"/>
      <c r="D13" s="395"/>
      <c r="E13" s="396"/>
      <c r="F13" s="389"/>
      <c r="G13" s="397" t="s">
        <v>132</v>
      </c>
      <c r="H13" s="397"/>
      <c r="I13" s="397"/>
      <c r="J13" s="397"/>
      <c r="K13" s="397"/>
      <c r="L13" s="397"/>
      <c r="M13" s="397"/>
    </row>
    <row r="14" spans="1:14" ht="12.75" customHeight="1">
      <c r="A14" s="678" t="s">
        <v>20</v>
      </c>
      <c r="B14" s="678"/>
      <c r="C14" s="678"/>
      <c r="D14" s="678"/>
      <c r="E14" s="679" t="s">
        <v>1</v>
      </c>
      <c r="F14" s="679"/>
      <c r="G14" s="679"/>
      <c r="H14" s="679"/>
      <c r="I14" s="409"/>
      <c r="J14" s="409"/>
      <c r="K14" s="409"/>
      <c r="L14" s="409"/>
      <c r="M14" s="409"/>
    </row>
    <row r="15" spans="1:14" ht="19.5">
      <c r="A15" s="678"/>
      <c r="B15" s="678"/>
      <c r="C15" s="678"/>
      <c r="D15" s="678"/>
      <c r="E15" s="395" t="s">
        <v>231</v>
      </c>
      <c r="F15" s="418"/>
      <c r="G15" s="397"/>
      <c r="H15" s="395"/>
      <c r="I15" s="395"/>
      <c r="J15" s="395"/>
      <c r="K15" s="395"/>
      <c r="L15" s="395"/>
      <c r="M15" s="395"/>
    </row>
    <row r="16" spans="1:14">
      <c r="A16" s="398"/>
      <c r="B16" s="398"/>
      <c r="D16" s="399"/>
      <c r="E16" s="679" t="s">
        <v>3</v>
      </c>
      <c r="F16" s="679"/>
      <c r="G16" s="679"/>
      <c r="H16" s="679"/>
      <c r="I16" s="409"/>
      <c r="J16" s="409"/>
      <c r="K16" s="409"/>
      <c r="L16" s="409"/>
      <c r="M16" s="409"/>
    </row>
    <row r="18" spans="1:14" s="400" customFormat="1" ht="13.5" customHeight="1">
      <c r="A18" s="680" t="s">
        <v>4</v>
      </c>
      <c r="B18" s="680"/>
      <c r="C18" s="680"/>
      <c r="D18" s="680"/>
      <c r="E18" s="680" t="s">
        <v>21</v>
      </c>
      <c r="F18" s="480" t="s">
        <v>620</v>
      </c>
      <c r="G18" s="680" t="s">
        <v>621</v>
      </c>
      <c r="H18" s="680" t="s">
        <v>622</v>
      </c>
      <c r="I18" s="671" t="s">
        <v>623</v>
      </c>
      <c r="J18" s="672"/>
      <c r="K18" s="672"/>
      <c r="L18" s="672"/>
      <c r="M18" s="673"/>
      <c r="N18" s="674" t="s">
        <v>624</v>
      </c>
    </row>
    <row r="19" spans="1:14" s="400" customFormat="1" ht="102" customHeight="1">
      <c r="A19" s="214" t="s">
        <v>9</v>
      </c>
      <c r="B19" s="214" t="s">
        <v>10</v>
      </c>
      <c r="C19" s="214" t="s">
        <v>25</v>
      </c>
      <c r="D19" s="370" t="s">
        <v>26</v>
      </c>
      <c r="E19" s="680"/>
      <c r="F19" s="481"/>
      <c r="G19" s="680"/>
      <c r="H19" s="681"/>
      <c r="I19" s="419" t="s">
        <v>50</v>
      </c>
      <c r="J19" s="419" t="s">
        <v>625</v>
      </c>
      <c r="K19" s="419" t="s">
        <v>626</v>
      </c>
      <c r="L19" s="419" t="s">
        <v>627</v>
      </c>
      <c r="M19" s="419" t="s">
        <v>628</v>
      </c>
      <c r="N19" s="675"/>
    </row>
    <row r="20" spans="1:14" ht="54">
      <c r="A20" s="346" t="s">
        <v>83</v>
      </c>
      <c r="B20" s="347" t="s">
        <v>144</v>
      </c>
      <c r="C20" s="347"/>
      <c r="D20" s="369"/>
      <c r="E20" s="402" t="s">
        <v>557</v>
      </c>
      <c r="F20" s="403" t="s">
        <v>643</v>
      </c>
      <c r="G20" s="401" t="s">
        <v>346</v>
      </c>
      <c r="H20" s="207"/>
      <c r="I20" s="413">
        <v>42896.18</v>
      </c>
      <c r="J20" s="444">
        <v>34745.9</v>
      </c>
      <c r="K20" s="413">
        <v>8150.28</v>
      </c>
      <c r="L20" s="414">
        <v>0</v>
      </c>
      <c r="M20" s="414">
        <v>0</v>
      </c>
      <c r="N20" s="206"/>
    </row>
    <row r="21" spans="1:14" ht="108">
      <c r="A21" s="346" t="s">
        <v>83</v>
      </c>
      <c r="B21" s="347" t="s">
        <v>144</v>
      </c>
      <c r="C21" s="347" t="s">
        <v>28</v>
      </c>
      <c r="D21" s="369"/>
      <c r="E21" s="402" t="s">
        <v>603</v>
      </c>
      <c r="F21" s="403" t="s">
        <v>643</v>
      </c>
      <c r="G21" s="401" t="s">
        <v>233</v>
      </c>
      <c r="H21" s="207"/>
      <c r="I21" s="413">
        <v>42896.18</v>
      </c>
      <c r="J21" s="444">
        <v>34745.9</v>
      </c>
      <c r="K21" s="413">
        <v>8150.28</v>
      </c>
      <c r="L21" s="414">
        <v>0</v>
      </c>
      <c r="M21" s="414">
        <v>0</v>
      </c>
      <c r="N21" s="214" t="s">
        <v>629</v>
      </c>
    </row>
    <row r="22" spans="1:14" ht="348" customHeight="1">
      <c r="A22" s="313" t="s">
        <v>83</v>
      </c>
      <c r="B22" s="314" t="s">
        <v>144</v>
      </c>
      <c r="C22" s="314" t="s">
        <v>28</v>
      </c>
      <c r="D22" s="313" t="s">
        <v>15</v>
      </c>
      <c r="E22" s="401" t="s">
        <v>630</v>
      </c>
      <c r="F22" s="403" t="s">
        <v>643</v>
      </c>
      <c r="G22" s="401" t="s">
        <v>332</v>
      </c>
      <c r="H22" s="406" t="s">
        <v>605</v>
      </c>
      <c r="I22" s="420">
        <v>0</v>
      </c>
      <c r="J22" s="420">
        <v>0</v>
      </c>
      <c r="K22" s="420">
        <v>0</v>
      </c>
      <c r="L22" s="420">
        <v>0</v>
      </c>
      <c r="M22" s="420">
        <v>0</v>
      </c>
      <c r="N22" s="213"/>
    </row>
    <row r="23" spans="1:14" ht="152.25" customHeight="1">
      <c r="A23" s="313" t="s">
        <v>83</v>
      </c>
      <c r="B23" s="314" t="s">
        <v>144</v>
      </c>
      <c r="C23" s="314" t="s">
        <v>28</v>
      </c>
      <c r="D23" s="313" t="s">
        <v>16</v>
      </c>
      <c r="E23" s="407" t="s">
        <v>271</v>
      </c>
      <c r="F23" s="403" t="s">
        <v>513</v>
      </c>
      <c r="G23" s="401" t="s">
        <v>332</v>
      </c>
      <c r="H23" s="406" t="s">
        <v>333</v>
      </c>
      <c r="I23" s="420">
        <v>348</v>
      </c>
      <c r="J23" s="420">
        <v>281.88</v>
      </c>
      <c r="K23" s="420">
        <v>66.12</v>
      </c>
      <c r="L23" s="420">
        <v>0</v>
      </c>
      <c r="M23" s="420">
        <v>0</v>
      </c>
      <c r="N23" s="213"/>
    </row>
    <row r="24" spans="1:14" ht="229.5" customHeight="1">
      <c r="A24" s="313" t="s">
        <v>83</v>
      </c>
      <c r="B24" s="314" t="s">
        <v>144</v>
      </c>
      <c r="C24" s="314" t="s">
        <v>28</v>
      </c>
      <c r="D24" s="313" t="s">
        <v>17</v>
      </c>
      <c r="E24" s="407" t="s">
        <v>525</v>
      </c>
      <c r="F24" s="403" t="s">
        <v>513</v>
      </c>
      <c r="G24" s="401" t="s">
        <v>400</v>
      </c>
      <c r="H24" s="404" t="s">
        <v>401</v>
      </c>
      <c r="I24" s="420">
        <v>3087</v>
      </c>
      <c r="J24" s="420">
        <v>2500.46</v>
      </c>
      <c r="K24" s="420">
        <v>586.54</v>
      </c>
      <c r="L24" s="420">
        <v>0</v>
      </c>
      <c r="M24" s="420">
        <v>0</v>
      </c>
      <c r="N24" s="213"/>
    </row>
    <row r="25" spans="1:14" ht="162">
      <c r="A25" s="366" t="s">
        <v>83</v>
      </c>
      <c r="B25" s="375" t="s">
        <v>144</v>
      </c>
      <c r="C25" s="375" t="s">
        <v>28</v>
      </c>
      <c r="D25" s="366" t="s">
        <v>18</v>
      </c>
      <c r="E25" s="421" t="s">
        <v>422</v>
      </c>
      <c r="F25" s="422" t="s">
        <v>568</v>
      </c>
      <c r="G25" s="401" t="s">
        <v>400</v>
      </c>
      <c r="H25" s="423" t="s">
        <v>337</v>
      </c>
      <c r="I25" s="420">
        <v>28452.44</v>
      </c>
      <c r="J25" s="420">
        <v>23046.49</v>
      </c>
      <c r="K25" s="420">
        <v>5405.95</v>
      </c>
      <c r="L25" s="420">
        <v>0</v>
      </c>
      <c r="M25" s="420">
        <v>0</v>
      </c>
      <c r="N25" s="213"/>
    </row>
    <row r="26" spans="1:14" ht="109.5" customHeight="1">
      <c r="A26" s="313" t="s">
        <v>83</v>
      </c>
      <c r="B26" s="314" t="s">
        <v>144</v>
      </c>
      <c r="C26" s="314" t="s">
        <v>28</v>
      </c>
      <c r="D26" s="313" t="s">
        <v>29</v>
      </c>
      <c r="E26" s="401" t="s">
        <v>423</v>
      </c>
      <c r="F26" s="403" t="s">
        <v>643</v>
      </c>
      <c r="G26" s="401" t="s">
        <v>233</v>
      </c>
      <c r="H26" s="401" t="s">
        <v>631</v>
      </c>
      <c r="I26" s="420">
        <v>3366.9</v>
      </c>
      <c r="J26" s="420">
        <v>2727.18</v>
      </c>
      <c r="K26" s="420">
        <v>639.72</v>
      </c>
      <c r="L26" s="420">
        <v>0</v>
      </c>
      <c r="M26" s="420">
        <v>0</v>
      </c>
      <c r="N26" s="213"/>
    </row>
    <row r="27" spans="1:14" ht="409.5" customHeight="1">
      <c r="A27" s="313" t="s">
        <v>83</v>
      </c>
      <c r="B27" s="314" t="s">
        <v>144</v>
      </c>
      <c r="C27" s="314" t="s">
        <v>28</v>
      </c>
      <c r="D27" s="313" t="s">
        <v>28</v>
      </c>
      <c r="E27" s="401" t="s">
        <v>334</v>
      </c>
      <c r="F27" s="403" t="s">
        <v>643</v>
      </c>
      <c r="G27" s="401" t="s">
        <v>479</v>
      </c>
      <c r="H27" s="406" t="s">
        <v>642</v>
      </c>
      <c r="I27" s="420">
        <v>0</v>
      </c>
      <c r="J27" s="420">
        <v>0</v>
      </c>
      <c r="K27" s="420">
        <v>0</v>
      </c>
      <c r="L27" s="420">
        <v>0</v>
      </c>
      <c r="M27" s="420">
        <v>0</v>
      </c>
      <c r="N27" s="213"/>
    </row>
    <row r="28" spans="1:14" ht="216">
      <c r="A28" s="313" t="s">
        <v>83</v>
      </c>
      <c r="B28" s="314" t="s">
        <v>144</v>
      </c>
      <c r="C28" s="314" t="s">
        <v>28</v>
      </c>
      <c r="D28" s="313" t="s">
        <v>13</v>
      </c>
      <c r="E28" s="401" t="s">
        <v>607</v>
      </c>
      <c r="F28" s="403" t="s">
        <v>643</v>
      </c>
      <c r="G28" s="401" t="s">
        <v>335</v>
      </c>
      <c r="H28" s="406" t="s">
        <v>608</v>
      </c>
      <c r="I28" s="414">
        <v>0</v>
      </c>
      <c r="J28" s="414">
        <v>0</v>
      </c>
      <c r="K28" s="414">
        <v>0</v>
      </c>
      <c r="L28" s="414">
        <v>0</v>
      </c>
      <c r="M28" s="414">
        <v>0</v>
      </c>
      <c r="N28" s="214"/>
    </row>
    <row r="29" spans="1:14" ht="207" customHeight="1">
      <c r="A29" s="313" t="s">
        <v>83</v>
      </c>
      <c r="B29" s="314" t="s">
        <v>144</v>
      </c>
      <c r="C29" s="314" t="s">
        <v>28</v>
      </c>
      <c r="D29" s="313" t="s">
        <v>30</v>
      </c>
      <c r="E29" s="407" t="s">
        <v>609</v>
      </c>
      <c r="F29" s="403" t="s">
        <v>643</v>
      </c>
      <c r="G29" s="401" t="s">
        <v>233</v>
      </c>
      <c r="H29" s="407" t="s">
        <v>610</v>
      </c>
      <c r="I29" s="420">
        <v>0</v>
      </c>
      <c r="J29" s="420">
        <v>0</v>
      </c>
      <c r="K29" s="420">
        <v>0</v>
      </c>
      <c r="L29" s="420">
        <v>0</v>
      </c>
      <c r="M29" s="420">
        <v>0</v>
      </c>
      <c r="N29" s="213"/>
    </row>
    <row r="30" spans="1:14" ht="409.5">
      <c r="A30" s="313" t="s">
        <v>83</v>
      </c>
      <c r="B30" s="314" t="s">
        <v>144</v>
      </c>
      <c r="C30" s="314" t="s">
        <v>28</v>
      </c>
      <c r="D30" s="313" t="s">
        <v>31</v>
      </c>
      <c r="E30" s="401" t="s">
        <v>632</v>
      </c>
      <c r="F30" s="403" t="s">
        <v>643</v>
      </c>
      <c r="G30" s="401" t="s">
        <v>474</v>
      </c>
      <c r="H30" s="424" t="s">
        <v>633</v>
      </c>
      <c r="I30" s="420">
        <v>7641.84</v>
      </c>
      <c r="J30" s="420">
        <v>6188.89</v>
      </c>
      <c r="K30" s="420">
        <v>1451.95</v>
      </c>
      <c r="L30" s="420">
        <v>0</v>
      </c>
      <c r="M30" s="420">
        <v>0</v>
      </c>
      <c r="N30" s="213"/>
    </row>
    <row r="31" spans="1:14" s="408" customFormat="1" ht="98.25" customHeight="1">
      <c r="A31" s="313" t="s">
        <v>83</v>
      </c>
      <c r="B31" s="314" t="s">
        <v>144</v>
      </c>
      <c r="C31" s="314" t="s">
        <v>28</v>
      </c>
      <c r="D31" s="313" t="s">
        <v>205</v>
      </c>
      <c r="E31" s="401" t="s">
        <v>165</v>
      </c>
      <c r="F31" s="403" t="s">
        <v>643</v>
      </c>
      <c r="G31" s="401" t="s">
        <v>613</v>
      </c>
      <c r="H31" s="406" t="s">
        <v>338</v>
      </c>
      <c r="I31" s="420">
        <v>0</v>
      </c>
      <c r="J31" s="420">
        <v>0</v>
      </c>
      <c r="K31" s="420">
        <v>0</v>
      </c>
      <c r="L31" s="420">
        <v>0</v>
      </c>
      <c r="M31" s="420">
        <v>0</v>
      </c>
      <c r="N31" s="213"/>
    </row>
    <row r="32" spans="1:14" ht="285.75" customHeight="1">
      <c r="A32" s="313" t="s">
        <v>83</v>
      </c>
      <c r="B32" s="314" t="s">
        <v>144</v>
      </c>
      <c r="C32" s="314" t="s">
        <v>28</v>
      </c>
      <c r="D32" s="313" t="s">
        <v>308</v>
      </c>
      <c r="E32" s="401" t="s">
        <v>341</v>
      </c>
      <c r="F32" s="403" t="s">
        <v>643</v>
      </c>
      <c r="G32" s="401" t="s">
        <v>613</v>
      </c>
      <c r="H32" s="406" t="s">
        <v>342</v>
      </c>
      <c r="I32" s="420">
        <v>0</v>
      </c>
      <c r="J32" s="420">
        <v>0</v>
      </c>
      <c r="K32" s="420">
        <v>0</v>
      </c>
      <c r="L32" s="420">
        <v>0</v>
      </c>
      <c r="M32" s="420">
        <v>0</v>
      </c>
      <c r="N32" s="213"/>
    </row>
    <row r="33" spans="1:14" ht="168.75" customHeight="1">
      <c r="A33" s="313" t="s">
        <v>83</v>
      </c>
      <c r="B33" s="314" t="s">
        <v>144</v>
      </c>
      <c r="C33" s="314" t="s">
        <v>28</v>
      </c>
      <c r="D33" s="313" t="s">
        <v>309</v>
      </c>
      <c r="E33" s="401" t="s">
        <v>614</v>
      </c>
      <c r="F33" s="403" t="s">
        <v>643</v>
      </c>
      <c r="G33" s="401" t="s">
        <v>233</v>
      </c>
      <c r="H33" s="405" t="s">
        <v>269</v>
      </c>
      <c r="I33" s="420">
        <v>0</v>
      </c>
      <c r="J33" s="420">
        <v>0</v>
      </c>
      <c r="K33" s="420">
        <v>0</v>
      </c>
      <c r="L33" s="420">
        <v>0</v>
      </c>
      <c r="M33" s="420">
        <v>0</v>
      </c>
      <c r="N33" s="213"/>
    </row>
    <row r="34" spans="1:14" ht="22.5" customHeight="1">
      <c r="I34" s="383"/>
      <c r="J34" s="446"/>
      <c r="K34" s="446"/>
      <c r="L34" s="387"/>
      <c r="M34" s="387"/>
      <c r="N34" s="387"/>
    </row>
    <row r="36" spans="1:14" ht="30.75" customHeight="1">
      <c r="I36" s="383"/>
    </row>
  </sheetData>
  <mergeCells count="12">
    <mergeCell ref="I18:M18"/>
    <mergeCell ref="N18:N19"/>
    <mergeCell ref="L9:N9"/>
    <mergeCell ref="A11:N11"/>
    <mergeCell ref="A14:D15"/>
    <mergeCell ref="E14:H14"/>
    <mergeCell ref="E16:H16"/>
    <mergeCell ref="A18:D18"/>
    <mergeCell ref="E18:E19"/>
    <mergeCell ref="F18:F19"/>
    <mergeCell ref="G18:G19"/>
    <mergeCell ref="H18:H19"/>
  </mergeCells>
  <pageMargins left="0.23622047244094491" right="0.15748031496062992" top="0.39370078740157483" bottom="0.39370078740157483" header="0.19685039370078741" footer="0.19685039370078741"/>
  <pageSetup paperSize="9" scale="70" orientation="landscape" r:id="rId1"/>
  <rowBreaks count="2" manualBreakCount="2">
    <brk id="27" max="13" man="1"/>
    <brk id="30" max="16383" man="1"/>
  </rowBreaks>
</worksheet>
</file>

<file path=xl/worksheets/sheet2.xml><?xml version="1.0" encoding="utf-8"?>
<worksheet xmlns="http://schemas.openxmlformats.org/spreadsheetml/2006/main" xmlns:r="http://schemas.openxmlformats.org/officeDocument/2006/relationships">
  <sheetPr>
    <tabColor theme="6" tint="0.39997558519241921"/>
  </sheetPr>
  <dimension ref="A1:L131"/>
  <sheetViews>
    <sheetView view="pageBreakPreview" topLeftCell="A108" zoomScale="24" zoomScaleNormal="100" zoomScaleSheetLayoutView="24" workbookViewId="0">
      <selection activeCell="H5" sqref="H5"/>
    </sheetView>
  </sheetViews>
  <sheetFormatPr defaultColWidth="9.140625" defaultRowHeight="12.75"/>
  <cols>
    <col min="1" max="1" width="5.85546875" style="50" customWidth="1"/>
    <col min="2" max="2" width="7.140625" style="50" customWidth="1"/>
    <col min="3" max="3" width="6.85546875" style="50" customWidth="1"/>
    <col min="4" max="4" width="6" style="51" customWidth="1"/>
    <col min="5" max="5" width="48.7109375" style="51" customWidth="1"/>
    <col min="6" max="6" width="27.42578125" style="52" customWidth="1"/>
    <col min="7" max="7" width="14.140625" style="51" customWidth="1"/>
    <col min="8" max="8" width="54.5703125" style="51" customWidth="1"/>
    <col min="9" max="9" width="15" style="50" customWidth="1"/>
    <col min="10" max="10" width="32.5703125" style="31" hidden="1" customWidth="1"/>
    <col min="11" max="16384" width="9.140625" style="31"/>
  </cols>
  <sheetData>
    <row r="1" spans="1:9" ht="18.75">
      <c r="H1" s="362" t="s">
        <v>32</v>
      </c>
    </row>
    <row r="2" spans="1:9" ht="18.75">
      <c r="H2" s="362" t="s">
        <v>431</v>
      </c>
    </row>
    <row r="3" spans="1:9" ht="18.75">
      <c r="H3" s="280" t="s">
        <v>432</v>
      </c>
    </row>
    <row r="4" spans="1:9" ht="18.75">
      <c r="H4" s="280" t="s">
        <v>617</v>
      </c>
    </row>
    <row r="7" spans="1:9" ht="18.75">
      <c r="H7" s="380" t="s">
        <v>442</v>
      </c>
      <c r="I7" s="128"/>
    </row>
    <row r="8" spans="1:9" ht="18.75">
      <c r="H8" s="362" t="s">
        <v>172</v>
      </c>
      <c r="I8" s="128"/>
    </row>
    <row r="9" spans="1:9" ht="21" customHeight="1">
      <c r="H9" s="381" t="s">
        <v>184</v>
      </c>
      <c r="I9" s="129"/>
    </row>
    <row r="10" spans="1:9" ht="18.75">
      <c r="B10" s="32"/>
      <c r="C10" s="32"/>
      <c r="D10" s="33"/>
      <c r="E10" s="100" t="s">
        <v>209</v>
      </c>
    </row>
    <row r="11" spans="1:9">
      <c r="A11" s="34"/>
      <c r="B11" s="34"/>
      <c r="C11" s="34"/>
      <c r="D11" s="35"/>
      <c r="E11" s="35"/>
    </row>
    <row r="12" spans="1:9" ht="19.5">
      <c r="A12" s="101" t="s">
        <v>0</v>
      </c>
      <c r="B12" s="101"/>
      <c r="C12" s="102"/>
      <c r="D12" s="103"/>
      <c r="E12" s="104"/>
      <c r="F12" s="363" t="s">
        <v>132</v>
      </c>
      <c r="G12" s="363"/>
      <c r="H12" s="363"/>
    </row>
    <row r="13" spans="1:9" ht="12.75" customHeight="1">
      <c r="A13" s="485" t="s">
        <v>20</v>
      </c>
      <c r="B13" s="485"/>
      <c r="C13" s="485"/>
      <c r="D13" s="485"/>
      <c r="E13" s="479" t="s">
        <v>1</v>
      </c>
      <c r="F13" s="479"/>
      <c r="G13" s="479"/>
      <c r="H13" s="479"/>
    </row>
    <row r="14" spans="1:9" ht="19.5">
      <c r="A14" s="485"/>
      <c r="B14" s="485"/>
      <c r="C14" s="485"/>
      <c r="D14" s="485"/>
      <c r="E14" s="103" t="s">
        <v>231</v>
      </c>
      <c r="F14" s="363"/>
      <c r="G14" s="103"/>
      <c r="H14" s="103"/>
    </row>
    <row r="15" spans="1:9">
      <c r="A15" s="37"/>
      <c r="B15" s="37"/>
      <c r="D15" s="36"/>
      <c r="E15" s="479" t="s">
        <v>3</v>
      </c>
      <c r="F15" s="479"/>
      <c r="G15" s="479"/>
      <c r="H15" s="479"/>
    </row>
    <row r="17" spans="1:9" s="38" customFormat="1" ht="45" customHeight="1">
      <c r="A17" s="482" t="s">
        <v>4</v>
      </c>
      <c r="B17" s="483"/>
      <c r="C17" s="483"/>
      <c r="D17" s="484"/>
      <c r="E17" s="480" t="s">
        <v>21</v>
      </c>
      <c r="F17" s="480" t="s">
        <v>22</v>
      </c>
      <c r="G17" s="480" t="s">
        <v>23</v>
      </c>
      <c r="H17" s="480" t="s">
        <v>24</v>
      </c>
      <c r="I17" s="477" t="s">
        <v>75</v>
      </c>
    </row>
    <row r="18" spans="1:9" s="38" customFormat="1" ht="13.5">
      <c r="A18" s="313" t="s">
        <v>9</v>
      </c>
      <c r="B18" s="313" t="s">
        <v>10</v>
      </c>
      <c r="C18" s="313" t="s">
        <v>25</v>
      </c>
      <c r="D18" s="371" t="s">
        <v>26</v>
      </c>
      <c r="E18" s="481"/>
      <c r="F18" s="481"/>
      <c r="G18" s="481"/>
      <c r="H18" s="481"/>
      <c r="I18" s="478"/>
    </row>
    <row r="19" spans="1:9" ht="60.75" customHeight="1">
      <c r="A19" s="313" t="s">
        <v>83</v>
      </c>
      <c r="B19" s="314" t="s">
        <v>143</v>
      </c>
      <c r="C19" s="314"/>
      <c r="D19" s="205"/>
      <c r="E19" s="374" t="s">
        <v>478</v>
      </c>
      <c r="F19" s="207" t="s">
        <v>233</v>
      </c>
      <c r="G19" s="205" t="s">
        <v>481</v>
      </c>
      <c r="H19" s="369"/>
      <c r="I19" s="206"/>
    </row>
    <row r="20" spans="1:9" ht="45" customHeight="1">
      <c r="A20" s="346" t="s">
        <v>83</v>
      </c>
      <c r="B20" s="347" t="s">
        <v>143</v>
      </c>
      <c r="C20" s="347" t="s">
        <v>15</v>
      </c>
      <c r="D20" s="348"/>
      <c r="E20" s="374" t="s">
        <v>87</v>
      </c>
      <c r="F20" s="207" t="s">
        <v>233</v>
      </c>
      <c r="G20" s="205" t="s">
        <v>481</v>
      </c>
      <c r="H20" s="371"/>
      <c r="I20" s="371" t="s">
        <v>464</v>
      </c>
    </row>
    <row r="21" spans="1:9" ht="229.5">
      <c r="A21" s="313" t="s">
        <v>83</v>
      </c>
      <c r="B21" s="314" t="s">
        <v>143</v>
      </c>
      <c r="C21" s="314" t="s">
        <v>15</v>
      </c>
      <c r="D21" s="314" t="s">
        <v>15</v>
      </c>
      <c r="E21" s="207" t="s">
        <v>485</v>
      </c>
      <c r="F21" s="207" t="s">
        <v>425</v>
      </c>
      <c r="G21" s="205" t="s">
        <v>481</v>
      </c>
      <c r="H21" s="207" t="s">
        <v>160</v>
      </c>
      <c r="I21" s="206"/>
    </row>
    <row r="22" spans="1:9" ht="189">
      <c r="A22" s="313" t="s">
        <v>83</v>
      </c>
      <c r="B22" s="314" t="s">
        <v>143</v>
      </c>
      <c r="C22" s="314" t="s">
        <v>15</v>
      </c>
      <c r="D22" s="314" t="s">
        <v>16</v>
      </c>
      <c r="E22" s="207" t="s">
        <v>486</v>
      </c>
      <c r="F22" s="207" t="s">
        <v>78</v>
      </c>
      <c r="G22" s="205" t="s">
        <v>481</v>
      </c>
      <c r="H22" s="207" t="s">
        <v>246</v>
      </c>
      <c r="I22" s="206"/>
    </row>
    <row r="23" spans="1:9" ht="108">
      <c r="A23" s="313" t="s">
        <v>83</v>
      </c>
      <c r="B23" s="314" t="s">
        <v>143</v>
      </c>
      <c r="C23" s="314" t="s">
        <v>15</v>
      </c>
      <c r="D23" s="314" t="s">
        <v>17</v>
      </c>
      <c r="E23" s="207" t="s">
        <v>487</v>
      </c>
      <c r="F23" s="207" t="s">
        <v>76</v>
      </c>
      <c r="G23" s="205" t="s">
        <v>481</v>
      </c>
      <c r="H23" s="207" t="s">
        <v>166</v>
      </c>
      <c r="I23" s="206"/>
    </row>
    <row r="24" spans="1:9" ht="121.5">
      <c r="A24" s="313" t="s">
        <v>83</v>
      </c>
      <c r="B24" s="314" t="s">
        <v>143</v>
      </c>
      <c r="C24" s="314" t="s">
        <v>15</v>
      </c>
      <c r="D24" s="314" t="s">
        <v>18</v>
      </c>
      <c r="E24" s="207" t="s">
        <v>488</v>
      </c>
      <c r="F24" s="207" t="s">
        <v>88</v>
      </c>
      <c r="G24" s="205" t="s">
        <v>481</v>
      </c>
      <c r="H24" s="207" t="s">
        <v>149</v>
      </c>
      <c r="I24" s="206"/>
    </row>
    <row r="25" spans="1:9" ht="94.5">
      <c r="A25" s="313" t="s">
        <v>83</v>
      </c>
      <c r="B25" s="314" t="s">
        <v>143</v>
      </c>
      <c r="C25" s="314" t="s">
        <v>15</v>
      </c>
      <c r="D25" s="314" t="s">
        <v>29</v>
      </c>
      <c r="E25" s="207" t="s">
        <v>489</v>
      </c>
      <c r="F25" s="207" t="s">
        <v>426</v>
      </c>
      <c r="G25" s="205" t="s">
        <v>481</v>
      </c>
      <c r="H25" s="207" t="s">
        <v>150</v>
      </c>
      <c r="I25" s="206"/>
    </row>
    <row r="26" spans="1:9" ht="121.5">
      <c r="A26" s="313" t="s">
        <v>83</v>
      </c>
      <c r="B26" s="314" t="s">
        <v>143</v>
      </c>
      <c r="C26" s="314" t="s">
        <v>15</v>
      </c>
      <c r="D26" s="314" t="s">
        <v>28</v>
      </c>
      <c r="E26" s="207" t="s">
        <v>490</v>
      </c>
      <c r="F26" s="207" t="s">
        <v>232</v>
      </c>
      <c r="G26" s="205" t="s">
        <v>481</v>
      </c>
      <c r="H26" s="207" t="s">
        <v>224</v>
      </c>
      <c r="I26" s="206"/>
    </row>
    <row r="27" spans="1:9" ht="94.5">
      <c r="A27" s="313" t="s">
        <v>83</v>
      </c>
      <c r="B27" s="314" t="s">
        <v>143</v>
      </c>
      <c r="C27" s="314" t="s">
        <v>15</v>
      </c>
      <c r="D27" s="314" t="s">
        <v>13</v>
      </c>
      <c r="E27" s="207" t="s">
        <v>491</v>
      </c>
      <c r="F27" s="207" t="s">
        <v>355</v>
      </c>
      <c r="G27" s="371" t="s">
        <v>484</v>
      </c>
      <c r="H27" s="207" t="s">
        <v>225</v>
      </c>
      <c r="I27" s="206"/>
    </row>
    <row r="28" spans="1:9" ht="108">
      <c r="A28" s="313" t="s">
        <v>83</v>
      </c>
      <c r="B28" s="314" t="s">
        <v>143</v>
      </c>
      <c r="C28" s="314" t="s">
        <v>15</v>
      </c>
      <c r="D28" s="314" t="s">
        <v>30</v>
      </c>
      <c r="E28" s="207" t="s">
        <v>492</v>
      </c>
      <c r="F28" s="207" t="s">
        <v>170</v>
      </c>
      <c r="G28" s="207" t="s">
        <v>482</v>
      </c>
      <c r="H28" s="207" t="s">
        <v>185</v>
      </c>
      <c r="I28" s="206"/>
    </row>
    <row r="29" spans="1:9" ht="202.5">
      <c r="A29" s="313" t="s">
        <v>83</v>
      </c>
      <c r="B29" s="314" t="s">
        <v>143</v>
      </c>
      <c r="C29" s="314" t="s">
        <v>15</v>
      </c>
      <c r="D29" s="314" t="s">
        <v>31</v>
      </c>
      <c r="E29" s="208" t="s">
        <v>564</v>
      </c>
      <c r="F29" s="207" t="s">
        <v>232</v>
      </c>
      <c r="G29" s="205" t="s">
        <v>565</v>
      </c>
      <c r="H29" s="207" t="s">
        <v>161</v>
      </c>
      <c r="I29" s="206"/>
    </row>
    <row r="30" spans="1:9" ht="67.5">
      <c r="A30" s="313" t="s">
        <v>83</v>
      </c>
      <c r="B30" s="314" t="s">
        <v>143</v>
      </c>
      <c r="C30" s="314" t="s">
        <v>15</v>
      </c>
      <c r="D30" s="314" t="s">
        <v>52</v>
      </c>
      <c r="E30" s="208" t="s">
        <v>90</v>
      </c>
      <c r="F30" s="207" t="s">
        <v>92</v>
      </c>
      <c r="G30" s="208" t="s">
        <v>363</v>
      </c>
      <c r="H30" s="208" t="s">
        <v>159</v>
      </c>
      <c r="I30" s="206"/>
    </row>
    <row r="31" spans="1:9" ht="81">
      <c r="A31" s="313" t="s">
        <v>83</v>
      </c>
      <c r="B31" s="314" t="s">
        <v>143</v>
      </c>
      <c r="C31" s="314" t="s">
        <v>15</v>
      </c>
      <c r="D31" s="314" t="s">
        <v>205</v>
      </c>
      <c r="E31" s="208" t="s">
        <v>204</v>
      </c>
      <c r="F31" s="208" t="s">
        <v>88</v>
      </c>
      <c r="G31" s="208" t="s">
        <v>363</v>
      </c>
      <c r="H31" s="208" t="s">
        <v>206</v>
      </c>
      <c r="I31" s="206"/>
    </row>
    <row r="32" spans="1:9" ht="57" customHeight="1">
      <c r="A32" s="346" t="s">
        <v>83</v>
      </c>
      <c r="B32" s="347" t="s">
        <v>143</v>
      </c>
      <c r="C32" s="347" t="s">
        <v>16</v>
      </c>
      <c r="D32" s="347"/>
      <c r="E32" s="344" t="s">
        <v>91</v>
      </c>
      <c r="F32" s="207" t="s">
        <v>232</v>
      </c>
      <c r="G32" s="205" t="s">
        <v>481</v>
      </c>
      <c r="H32" s="371"/>
      <c r="I32" s="313" t="s">
        <v>566</v>
      </c>
    </row>
    <row r="33" spans="1:9" ht="94.5">
      <c r="A33" s="313" t="s">
        <v>83</v>
      </c>
      <c r="B33" s="314" t="s">
        <v>143</v>
      </c>
      <c r="C33" s="314" t="s">
        <v>16</v>
      </c>
      <c r="D33" s="314" t="s">
        <v>15</v>
      </c>
      <c r="E33" s="209" t="s">
        <v>493</v>
      </c>
      <c r="F33" s="207" t="s">
        <v>426</v>
      </c>
      <c r="G33" s="205" t="s">
        <v>481</v>
      </c>
      <c r="H33" s="207" t="s">
        <v>167</v>
      </c>
      <c r="I33" s="206"/>
    </row>
    <row r="34" spans="1:9" ht="94.5">
      <c r="A34" s="313" t="s">
        <v>83</v>
      </c>
      <c r="B34" s="314" t="s">
        <v>143</v>
      </c>
      <c r="C34" s="314" t="s">
        <v>16</v>
      </c>
      <c r="D34" s="314" t="s">
        <v>16</v>
      </c>
      <c r="E34" s="209" t="s">
        <v>462</v>
      </c>
      <c r="F34" s="207" t="s">
        <v>232</v>
      </c>
      <c r="G34" s="205" t="s">
        <v>481</v>
      </c>
      <c r="H34" s="207" t="s">
        <v>158</v>
      </c>
      <c r="I34" s="206"/>
    </row>
    <row r="35" spans="1:9" ht="81">
      <c r="A35" s="313" t="s">
        <v>83</v>
      </c>
      <c r="B35" s="314" t="s">
        <v>143</v>
      </c>
      <c r="C35" s="314" t="s">
        <v>16</v>
      </c>
      <c r="D35" s="314" t="s">
        <v>17</v>
      </c>
      <c r="E35" s="210" t="s">
        <v>93</v>
      </c>
      <c r="F35" s="207" t="s">
        <v>232</v>
      </c>
      <c r="G35" s="205" t="s">
        <v>481</v>
      </c>
      <c r="H35" s="207" t="s">
        <v>247</v>
      </c>
      <c r="I35" s="206"/>
    </row>
    <row r="36" spans="1:9" ht="56.25" customHeight="1">
      <c r="A36" s="313" t="s">
        <v>83</v>
      </c>
      <c r="B36" s="314" t="s">
        <v>143</v>
      </c>
      <c r="C36" s="314" t="s">
        <v>16</v>
      </c>
      <c r="D36" s="314" t="s">
        <v>18</v>
      </c>
      <c r="E36" s="211" t="s">
        <v>94</v>
      </c>
      <c r="F36" s="207" t="s">
        <v>232</v>
      </c>
      <c r="G36" s="205" t="s">
        <v>363</v>
      </c>
      <c r="H36" s="207" t="s">
        <v>145</v>
      </c>
      <c r="I36" s="206"/>
    </row>
    <row r="37" spans="1:9" ht="54">
      <c r="A37" s="313" t="s">
        <v>83</v>
      </c>
      <c r="B37" s="314" t="s">
        <v>143</v>
      </c>
      <c r="C37" s="314" t="s">
        <v>16</v>
      </c>
      <c r="D37" s="314" t="s">
        <v>29</v>
      </c>
      <c r="E37" s="210" t="s">
        <v>95</v>
      </c>
      <c r="F37" s="207" t="s">
        <v>232</v>
      </c>
      <c r="G37" s="205" t="s">
        <v>363</v>
      </c>
      <c r="H37" s="207" t="s">
        <v>157</v>
      </c>
      <c r="I37" s="206"/>
    </row>
    <row r="38" spans="1:9" ht="40.5">
      <c r="A38" s="313" t="s">
        <v>83</v>
      </c>
      <c r="B38" s="314" t="s">
        <v>143</v>
      </c>
      <c r="C38" s="314" t="s">
        <v>16</v>
      </c>
      <c r="D38" s="314" t="s">
        <v>28</v>
      </c>
      <c r="E38" s="210" t="s">
        <v>97</v>
      </c>
      <c r="F38" s="207" t="s">
        <v>232</v>
      </c>
      <c r="G38" s="205" t="s">
        <v>481</v>
      </c>
      <c r="H38" s="207" t="s">
        <v>156</v>
      </c>
      <c r="I38" s="206"/>
    </row>
    <row r="39" spans="1:9" ht="43.5" customHeight="1">
      <c r="A39" s="346" t="s">
        <v>83</v>
      </c>
      <c r="B39" s="347" t="s">
        <v>143</v>
      </c>
      <c r="C39" s="347" t="s">
        <v>17</v>
      </c>
      <c r="D39" s="347"/>
      <c r="E39" s="345" t="s">
        <v>98</v>
      </c>
      <c r="F39" s="207" t="s">
        <v>232</v>
      </c>
      <c r="G39" s="205" t="s">
        <v>481</v>
      </c>
      <c r="H39" s="207"/>
      <c r="I39" s="314" t="s">
        <v>463</v>
      </c>
    </row>
    <row r="40" spans="1:9" ht="94.5">
      <c r="A40" s="313" t="s">
        <v>83</v>
      </c>
      <c r="B40" s="314" t="s">
        <v>143</v>
      </c>
      <c r="C40" s="314" t="s">
        <v>17</v>
      </c>
      <c r="D40" s="314" t="s">
        <v>15</v>
      </c>
      <c r="E40" s="210" t="s">
        <v>99</v>
      </c>
      <c r="F40" s="207" t="s">
        <v>232</v>
      </c>
      <c r="G40" s="205" t="s">
        <v>481</v>
      </c>
      <c r="H40" s="207" t="s">
        <v>155</v>
      </c>
      <c r="I40" s="206"/>
    </row>
    <row r="41" spans="1:9" ht="135">
      <c r="A41" s="313" t="s">
        <v>83</v>
      </c>
      <c r="B41" s="314" t="s">
        <v>143</v>
      </c>
      <c r="C41" s="314" t="s">
        <v>17</v>
      </c>
      <c r="D41" s="314" t="s">
        <v>16</v>
      </c>
      <c r="E41" s="210" t="s">
        <v>100</v>
      </c>
      <c r="F41" s="207" t="s">
        <v>232</v>
      </c>
      <c r="G41" s="205" t="s">
        <v>481</v>
      </c>
      <c r="H41" s="210" t="s">
        <v>262</v>
      </c>
      <c r="I41" s="212"/>
    </row>
    <row r="42" spans="1:9" ht="67.5">
      <c r="A42" s="313" t="s">
        <v>83</v>
      </c>
      <c r="B42" s="314" t="s">
        <v>143</v>
      </c>
      <c r="C42" s="314" t="s">
        <v>17</v>
      </c>
      <c r="D42" s="314" t="s">
        <v>17</v>
      </c>
      <c r="E42" s="210" t="s">
        <v>186</v>
      </c>
      <c r="F42" s="207" t="s">
        <v>88</v>
      </c>
      <c r="G42" s="205" t="s">
        <v>481</v>
      </c>
      <c r="H42" s="210" t="s">
        <v>154</v>
      </c>
      <c r="I42" s="212"/>
    </row>
    <row r="43" spans="1:9" ht="67.5">
      <c r="A43" s="313" t="s">
        <v>83</v>
      </c>
      <c r="B43" s="314" t="s">
        <v>143</v>
      </c>
      <c r="C43" s="314" t="s">
        <v>17</v>
      </c>
      <c r="D43" s="314" t="s">
        <v>18</v>
      </c>
      <c r="E43" s="207" t="s">
        <v>101</v>
      </c>
      <c r="F43" s="207" t="s">
        <v>232</v>
      </c>
      <c r="G43" s="205" t="s">
        <v>481</v>
      </c>
      <c r="H43" s="210" t="s">
        <v>153</v>
      </c>
      <c r="I43" s="212"/>
    </row>
    <row r="44" spans="1:9" ht="72" customHeight="1">
      <c r="A44" s="346" t="s">
        <v>83</v>
      </c>
      <c r="B44" s="347" t="s">
        <v>143</v>
      </c>
      <c r="C44" s="347" t="s">
        <v>18</v>
      </c>
      <c r="D44" s="347"/>
      <c r="E44" s="345" t="s">
        <v>102</v>
      </c>
      <c r="F44" s="207" t="s">
        <v>232</v>
      </c>
      <c r="G44" s="205" t="s">
        <v>481</v>
      </c>
      <c r="H44" s="207"/>
      <c r="I44" s="314" t="s">
        <v>223</v>
      </c>
    </row>
    <row r="45" spans="1:9" ht="54">
      <c r="A45" s="313" t="s">
        <v>83</v>
      </c>
      <c r="B45" s="314" t="s">
        <v>143</v>
      </c>
      <c r="C45" s="314" t="s">
        <v>18</v>
      </c>
      <c r="D45" s="314" t="s">
        <v>15</v>
      </c>
      <c r="E45" s="210" t="s">
        <v>103</v>
      </c>
      <c r="F45" s="207" t="s">
        <v>76</v>
      </c>
      <c r="G45" s="205" t="s">
        <v>481</v>
      </c>
      <c r="H45" s="207" t="s">
        <v>152</v>
      </c>
      <c r="I45" s="206"/>
    </row>
    <row r="46" spans="1:9" ht="54">
      <c r="A46" s="313" t="s">
        <v>83</v>
      </c>
      <c r="B46" s="314" t="s">
        <v>143</v>
      </c>
      <c r="C46" s="314" t="s">
        <v>18</v>
      </c>
      <c r="D46" s="314" t="s">
        <v>16</v>
      </c>
      <c r="E46" s="210" t="s">
        <v>104</v>
      </c>
      <c r="F46" s="208" t="s">
        <v>92</v>
      </c>
      <c r="G46" s="205" t="s">
        <v>481</v>
      </c>
      <c r="H46" s="207" t="s">
        <v>240</v>
      </c>
      <c r="I46" s="206"/>
    </row>
    <row r="47" spans="1:9" ht="108">
      <c r="A47" s="313" t="s">
        <v>83</v>
      </c>
      <c r="B47" s="314" t="s">
        <v>143</v>
      </c>
      <c r="C47" s="314" t="s">
        <v>18</v>
      </c>
      <c r="D47" s="314" t="s">
        <v>17</v>
      </c>
      <c r="E47" s="210" t="s">
        <v>494</v>
      </c>
      <c r="F47" s="207" t="s">
        <v>427</v>
      </c>
      <c r="G47" s="205" t="s">
        <v>481</v>
      </c>
      <c r="H47" s="207" t="s">
        <v>151</v>
      </c>
      <c r="I47" s="206"/>
    </row>
    <row r="48" spans="1:9" ht="81">
      <c r="A48" s="313" t="s">
        <v>83</v>
      </c>
      <c r="B48" s="314" t="s">
        <v>143</v>
      </c>
      <c r="C48" s="314" t="s">
        <v>18</v>
      </c>
      <c r="D48" s="314" t="s">
        <v>18</v>
      </c>
      <c r="E48" s="208" t="s">
        <v>141</v>
      </c>
      <c r="F48" s="207" t="s">
        <v>233</v>
      </c>
      <c r="G48" s="205" t="s">
        <v>481</v>
      </c>
      <c r="H48" s="207" t="s">
        <v>239</v>
      </c>
      <c r="I48" s="206"/>
    </row>
    <row r="49" spans="1:12" ht="43.5" customHeight="1">
      <c r="A49" s="346" t="s">
        <v>83</v>
      </c>
      <c r="B49" s="347" t="s">
        <v>144</v>
      </c>
      <c r="C49" s="347"/>
      <c r="D49" s="369"/>
      <c r="E49" s="349" t="s">
        <v>557</v>
      </c>
      <c r="F49" s="208" t="s">
        <v>346</v>
      </c>
      <c r="G49" s="301" t="s">
        <v>482</v>
      </c>
      <c r="H49" s="207"/>
      <c r="I49" s="206"/>
    </row>
    <row r="50" spans="1:12" ht="97.5" customHeight="1">
      <c r="A50" s="346" t="s">
        <v>83</v>
      </c>
      <c r="B50" s="347" t="s">
        <v>144</v>
      </c>
      <c r="C50" s="347" t="s">
        <v>15</v>
      </c>
      <c r="D50" s="369"/>
      <c r="E50" s="349" t="s">
        <v>556</v>
      </c>
      <c r="F50" s="208" t="s">
        <v>346</v>
      </c>
      <c r="G50" s="301" t="s">
        <v>482</v>
      </c>
      <c r="H50" s="207" t="s">
        <v>347</v>
      </c>
      <c r="I50" s="214" t="s">
        <v>580</v>
      </c>
    </row>
    <row r="51" spans="1:12" ht="69" customHeight="1">
      <c r="A51" s="313" t="s">
        <v>83</v>
      </c>
      <c r="B51" s="314" t="s">
        <v>144</v>
      </c>
      <c r="C51" s="314" t="s">
        <v>15</v>
      </c>
      <c r="D51" s="314" t="s">
        <v>15</v>
      </c>
      <c r="E51" s="208" t="s">
        <v>480</v>
      </c>
      <c r="F51" s="208" t="s">
        <v>346</v>
      </c>
      <c r="G51" s="301" t="s">
        <v>483</v>
      </c>
      <c r="H51" s="207" t="s">
        <v>347</v>
      </c>
      <c r="I51" s="213"/>
    </row>
    <row r="52" spans="1:12" ht="44.25" customHeight="1">
      <c r="A52" s="346" t="s">
        <v>83</v>
      </c>
      <c r="B52" s="347" t="s">
        <v>144</v>
      </c>
      <c r="C52" s="347" t="s">
        <v>16</v>
      </c>
      <c r="D52" s="347"/>
      <c r="E52" s="349" t="s">
        <v>501</v>
      </c>
      <c r="F52" s="208" t="s">
        <v>233</v>
      </c>
      <c r="G52" s="249" t="s">
        <v>567</v>
      </c>
      <c r="H52" s="207"/>
      <c r="I52" s="213"/>
    </row>
    <row r="53" spans="1:12" ht="46.5" customHeight="1">
      <c r="A53" s="313" t="s">
        <v>83</v>
      </c>
      <c r="B53" s="314" t="s">
        <v>144</v>
      </c>
      <c r="C53" s="314" t="s">
        <v>16</v>
      </c>
      <c r="D53" s="314" t="s">
        <v>15</v>
      </c>
      <c r="E53" s="208" t="s">
        <v>502</v>
      </c>
      <c r="F53" s="208" t="s">
        <v>233</v>
      </c>
      <c r="G53" s="249" t="s">
        <v>504</v>
      </c>
      <c r="H53" s="208" t="s">
        <v>503</v>
      </c>
      <c r="I53" s="213"/>
    </row>
    <row r="54" spans="1:12" ht="47.25" customHeight="1">
      <c r="A54" s="313" t="s">
        <v>83</v>
      </c>
      <c r="B54" s="314" t="s">
        <v>144</v>
      </c>
      <c r="C54" s="314" t="s">
        <v>16</v>
      </c>
      <c r="D54" s="314" t="s">
        <v>16</v>
      </c>
      <c r="E54" s="208" t="s">
        <v>505</v>
      </c>
      <c r="F54" s="316" t="s">
        <v>76</v>
      </c>
      <c r="G54" s="249" t="s">
        <v>507</v>
      </c>
      <c r="H54" s="208" t="s">
        <v>506</v>
      </c>
      <c r="I54" s="213"/>
    </row>
    <row r="55" spans="1:12" ht="69.75" customHeight="1">
      <c r="A55" s="313" t="s">
        <v>83</v>
      </c>
      <c r="B55" s="314" t="s">
        <v>144</v>
      </c>
      <c r="C55" s="314" t="s">
        <v>16</v>
      </c>
      <c r="D55" s="314" t="s">
        <v>17</v>
      </c>
      <c r="E55" s="208" t="s">
        <v>165</v>
      </c>
      <c r="F55" s="208" t="s">
        <v>508</v>
      </c>
      <c r="G55" s="249" t="s">
        <v>510</v>
      </c>
      <c r="H55" s="208" t="s">
        <v>509</v>
      </c>
      <c r="I55" s="213"/>
    </row>
    <row r="56" spans="1:12" ht="78" customHeight="1">
      <c r="A56" s="313" t="s">
        <v>83</v>
      </c>
      <c r="B56" s="314" t="s">
        <v>144</v>
      </c>
      <c r="C56" s="314" t="s">
        <v>16</v>
      </c>
      <c r="D56" s="314" t="s">
        <v>18</v>
      </c>
      <c r="E56" s="208" t="s">
        <v>511</v>
      </c>
      <c r="F56" s="208" t="s">
        <v>508</v>
      </c>
      <c r="G56" s="249" t="s">
        <v>507</v>
      </c>
      <c r="H56" s="208" t="s">
        <v>512</v>
      </c>
      <c r="I56" s="208"/>
    </row>
    <row r="57" spans="1:12" ht="73.5" customHeight="1">
      <c r="A57" s="367" t="s">
        <v>83</v>
      </c>
      <c r="B57" s="368" t="s">
        <v>144</v>
      </c>
      <c r="C57" s="368" t="s">
        <v>17</v>
      </c>
      <c r="D57" s="319"/>
      <c r="E57" s="374" t="s">
        <v>581</v>
      </c>
      <c r="F57" s="298" t="s">
        <v>233</v>
      </c>
      <c r="G57" s="249" t="s">
        <v>513</v>
      </c>
      <c r="H57" s="207"/>
      <c r="I57" s="213" t="s">
        <v>582</v>
      </c>
    </row>
    <row r="58" spans="1:12" ht="165.75" customHeight="1">
      <c r="A58" s="313" t="s">
        <v>83</v>
      </c>
      <c r="B58" s="314" t="s">
        <v>144</v>
      </c>
      <c r="C58" s="314" t="s">
        <v>17</v>
      </c>
      <c r="D58" s="314" t="s">
        <v>15</v>
      </c>
      <c r="E58" s="207" t="s">
        <v>583</v>
      </c>
      <c r="F58" s="298" t="s">
        <v>428</v>
      </c>
      <c r="G58" s="249" t="s">
        <v>513</v>
      </c>
      <c r="H58" s="301" t="s">
        <v>324</v>
      </c>
      <c r="I58" s="313"/>
    </row>
    <row r="59" spans="1:12" ht="44.25" customHeight="1">
      <c r="A59" s="313" t="s">
        <v>83</v>
      </c>
      <c r="B59" s="314" t="s">
        <v>144</v>
      </c>
      <c r="C59" s="314" t="s">
        <v>17</v>
      </c>
      <c r="D59" s="313" t="s">
        <v>16</v>
      </c>
      <c r="E59" s="211" t="s">
        <v>584</v>
      </c>
      <c r="F59" s="298" t="s">
        <v>260</v>
      </c>
      <c r="G59" s="249" t="s">
        <v>513</v>
      </c>
      <c r="H59" s="301" t="s">
        <v>585</v>
      </c>
      <c r="I59" s="206"/>
      <c r="L59" s="184"/>
    </row>
    <row r="60" spans="1:12" ht="111" customHeight="1">
      <c r="A60" s="313" t="s">
        <v>83</v>
      </c>
      <c r="B60" s="314" t="s">
        <v>144</v>
      </c>
      <c r="C60" s="314" t="s">
        <v>17</v>
      </c>
      <c r="D60" s="313" t="s">
        <v>17</v>
      </c>
      <c r="E60" s="210" t="s">
        <v>288</v>
      </c>
      <c r="F60" s="298" t="s">
        <v>429</v>
      </c>
      <c r="G60" s="249" t="s">
        <v>513</v>
      </c>
      <c r="H60" s="377" t="s">
        <v>325</v>
      </c>
      <c r="I60" s="313"/>
    </row>
    <row r="61" spans="1:12" ht="135">
      <c r="A61" s="313" t="s">
        <v>83</v>
      </c>
      <c r="B61" s="314" t="s">
        <v>144</v>
      </c>
      <c r="C61" s="314" t="s">
        <v>17</v>
      </c>
      <c r="D61" s="313" t="s">
        <v>18</v>
      </c>
      <c r="E61" s="210" t="s">
        <v>263</v>
      </c>
      <c r="F61" s="207" t="s">
        <v>233</v>
      </c>
      <c r="G61" s="249" t="s">
        <v>73</v>
      </c>
      <c r="H61" s="250" t="s">
        <v>326</v>
      </c>
      <c r="I61" s="206"/>
    </row>
    <row r="62" spans="1:12" ht="94.5">
      <c r="A62" s="313" t="s">
        <v>83</v>
      </c>
      <c r="B62" s="314" t="s">
        <v>144</v>
      </c>
      <c r="C62" s="314" t="s">
        <v>17</v>
      </c>
      <c r="D62" s="313" t="s">
        <v>29</v>
      </c>
      <c r="E62" s="210" t="s">
        <v>284</v>
      </c>
      <c r="F62" s="207" t="s">
        <v>233</v>
      </c>
      <c r="G62" s="249" t="s">
        <v>513</v>
      </c>
      <c r="H62" s="298" t="s">
        <v>327</v>
      </c>
      <c r="I62" s="206"/>
    </row>
    <row r="63" spans="1:12" ht="164.25" customHeight="1">
      <c r="A63" s="313" t="s">
        <v>83</v>
      </c>
      <c r="B63" s="314" t="s">
        <v>144</v>
      </c>
      <c r="C63" s="314" t="s">
        <v>17</v>
      </c>
      <c r="D63" s="313" t="s">
        <v>28</v>
      </c>
      <c r="E63" s="207" t="s">
        <v>586</v>
      </c>
      <c r="F63" s="298" t="s">
        <v>428</v>
      </c>
      <c r="G63" s="249" t="s">
        <v>513</v>
      </c>
      <c r="H63" s="377" t="s">
        <v>587</v>
      </c>
      <c r="I63" s="206"/>
    </row>
    <row r="64" spans="1:12" ht="46.5" customHeight="1">
      <c r="A64" s="366" t="s">
        <v>83</v>
      </c>
      <c r="B64" s="375" t="s">
        <v>144</v>
      </c>
      <c r="C64" s="375" t="s">
        <v>17</v>
      </c>
      <c r="D64" s="366" t="s">
        <v>13</v>
      </c>
      <c r="E64" s="207" t="s">
        <v>588</v>
      </c>
      <c r="F64" s="298" t="s">
        <v>233</v>
      </c>
      <c r="G64" s="249" t="s">
        <v>513</v>
      </c>
      <c r="H64" s="377" t="s">
        <v>589</v>
      </c>
      <c r="I64" s="206"/>
    </row>
    <row r="65" spans="1:9" ht="57" customHeight="1">
      <c r="A65" s="366" t="s">
        <v>83</v>
      </c>
      <c r="B65" s="375" t="s">
        <v>144</v>
      </c>
      <c r="C65" s="375" t="s">
        <v>17</v>
      </c>
      <c r="D65" s="366" t="s">
        <v>30</v>
      </c>
      <c r="E65" s="207" t="s">
        <v>590</v>
      </c>
      <c r="F65" s="298" t="s">
        <v>233</v>
      </c>
      <c r="G65" s="249" t="s">
        <v>513</v>
      </c>
      <c r="H65" s="377" t="s">
        <v>591</v>
      </c>
      <c r="I65" s="206"/>
    </row>
    <row r="66" spans="1:9" ht="43.5" customHeight="1">
      <c r="A66" s="366" t="s">
        <v>83</v>
      </c>
      <c r="B66" s="375" t="s">
        <v>144</v>
      </c>
      <c r="C66" s="375" t="s">
        <v>17</v>
      </c>
      <c r="D66" s="366" t="s">
        <v>31</v>
      </c>
      <c r="E66" s="207" t="s">
        <v>592</v>
      </c>
      <c r="F66" s="298" t="s">
        <v>233</v>
      </c>
      <c r="G66" s="249" t="s">
        <v>513</v>
      </c>
      <c r="H66" s="377" t="s">
        <v>593</v>
      </c>
      <c r="I66" s="206"/>
    </row>
    <row r="67" spans="1:9" ht="67.5" customHeight="1">
      <c r="A67" s="410" t="s">
        <v>83</v>
      </c>
      <c r="B67" s="411" t="s">
        <v>144</v>
      </c>
      <c r="C67" s="411" t="s">
        <v>18</v>
      </c>
      <c r="D67" s="412"/>
      <c r="E67" s="374" t="s">
        <v>518</v>
      </c>
      <c r="F67" s="298" t="s">
        <v>78</v>
      </c>
      <c r="G67" s="248" t="s">
        <v>513</v>
      </c>
      <c r="H67" s="298"/>
      <c r="I67" s="213" t="s">
        <v>594</v>
      </c>
    </row>
    <row r="68" spans="1:9" ht="45" customHeight="1">
      <c r="A68" s="313" t="s">
        <v>83</v>
      </c>
      <c r="B68" s="314" t="s">
        <v>144</v>
      </c>
      <c r="C68" s="314" t="s">
        <v>18</v>
      </c>
      <c r="D68" s="313" t="s">
        <v>15</v>
      </c>
      <c r="E68" s="207" t="s">
        <v>595</v>
      </c>
      <c r="F68" s="208" t="s">
        <v>233</v>
      </c>
      <c r="G68" s="248" t="s">
        <v>513</v>
      </c>
      <c r="H68" s="251" t="s">
        <v>328</v>
      </c>
      <c r="I68" s="213"/>
    </row>
    <row r="69" spans="1:9" ht="68.25" customHeight="1">
      <c r="A69" s="313" t="s">
        <v>83</v>
      </c>
      <c r="B69" s="314" t="s">
        <v>144</v>
      </c>
      <c r="C69" s="314" t="s">
        <v>18</v>
      </c>
      <c r="D69" s="313" t="s">
        <v>16</v>
      </c>
      <c r="E69" s="207" t="s">
        <v>304</v>
      </c>
      <c r="F69" s="208" t="s">
        <v>233</v>
      </c>
      <c r="G69" s="248" t="s">
        <v>513</v>
      </c>
      <c r="H69" s="250" t="s">
        <v>329</v>
      </c>
      <c r="I69" s="213"/>
    </row>
    <row r="70" spans="1:9" ht="99.75" customHeight="1">
      <c r="A70" s="346" t="s">
        <v>83</v>
      </c>
      <c r="B70" s="347" t="s">
        <v>144</v>
      </c>
      <c r="C70" s="347" t="s">
        <v>29</v>
      </c>
      <c r="D70" s="369"/>
      <c r="E70" s="374" t="s">
        <v>596</v>
      </c>
      <c r="F70" s="208" t="s">
        <v>233</v>
      </c>
      <c r="G70" s="248" t="s">
        <v>539</v>
      </c>
      <c r="H70" s="207"/>
      <c r="I70" s="213" t="s">
        <v>597</v>
      </c>
    </row>
    <row r="71" spans="1:9" ht="94.5">
      <c r="A71" s="313" t="s">
        <v>83</v>
      </c>
      <c r="B71" s="314" t="s">
        <v>144</v>
      </c>
      <c r="C71" s="314" t="s">
        <v>29</v>
      </c>
      <c r="D71" s="313" t="s">
        <v>15</v>
      </c>
      <c r="E71" s="207" t="s">
        <v>598</v>
      </c>
      <c r="F71" s="377" t="s">
        <v>330</v>
      </c>
      <c r="G71" s="248" t="s">
        <v>513</v>
      </c>
      <c r="H71" s="298" t="s">
        <v>599</v>
      </c>
      <c r="I71" s="213"/>
    </row>
    <row r="72" spans="1:9" ht="98.25" customHeight="1">
      <c r="A72" s="313" t="s">
        <v>83</v>
      </c>
      <c r="B72" s="314" t="s">
        <v>144</v>
      </c>
      <c r="C72" s="314" t="s">
        <v>29</v>
      </c>
      <c r="D72" s="313" t="s">
        <v>16</v>
      </c>
      <c r="E72" s="207" t="s">
        <v>600</v>
      </c>
      <c r="F72" s="208" t="s">
        <v>330</v>
      </c>
      <c r="G72" s="248" t="s">
        <v>513</v>
      </c>
      <c r="H72" s="250" t="s">
        <v>601</v>
      </c>
      <c r="I72" s="213"/>
    </row>
    <row r="73" spans="1:9" ht="96.75" customHeight="1">
      <c r="A73" s="313" t="s">
        <v>83</v>
      </c>
      <c r="B73" s="314" t="s">
        <v>144</v>
      </c>
      <c r="C73" s="314" t="s">
        <v>29</v>
      </c>
      <c r="D73" s="313" t="s">
        <v>17</v>
      </c>
      <c r="E73" s="318" t="s">
        <v>602</v>
      </c>
      <c r="F73" s="208" t="s">
        <v>330</v>
      </c>
      <c r="G73" s="248" t="s">
        <v>74</v>
      </c>
      <c r="H73" s="250" t="s">
        <v>331</v>
      </c>
      <c r="I73" s="213"/>
    </row>
    <row r="74" spans="1:9" ht="96.75" customHeight="1">
      <c r="A74" s="346" t="s">
        <v>83</v>
      </c>
      <c r="B74" s="347" t="s">
        <v>144</v>
      </c>
      <c r="C74" s="347" t="s">
        <v>28</v>
      </c>
      <c r="D74" s="369"/>
      <c r="E74" s="349" t="s">
        <v>603</v>
      </c>
      <c r="F74" s="208" t="s">
        <v>233</v>
      </c>
      <c r="G74" s="248" t="s">
        <v>513</v>
      </c>
      <c r="H74" s="207"/>
      <c r="I74" s="214" t="s">
        <v>604</v>
      </c>
    </row>
    <row r="75" spans="1:9" ht="60.75" customHeight="1">
      <c r="A75" s="313" t="s">
        <v>83</v>
      </c>
      <c r="B75" s="314" t="s">
        <v>144</v>
      </c>
      <c r="C75" s="314" t="s">
        <v>28</v>
      </c>
      <c r="D75" s="313" t="s">
        <v>15</v>
      </c>
      <c r="E75" s="208" t="s">
        <v>272</v>
      </c>
      <c r="F75" s="208" t="s">
        <v>332</v>
      </c>
      <c r="G75" s="248" t="s">
        <v>513</v>
      </c>
      <c r="H75" s="250" t="s">
        <v>605</v>
      </c>
      <c r="I75" s="213"/>
    </row>
    <row r="76" spans="1:9" ht="94.5">
      <c r="A76" s="313" t="s">
        <v>83</v>
      </c>
      <c r="B76" s="314" t="s">
        <v>144</v>
      </c>
      <c r="C76" s="314" t="s">
        <v>28</v>
      </c>
      <c r="D76" s="313" t="s">
        <v>16</v>
      </c>
      <c r="E76" s="317" t="s">
        <v>271</v>
      </c>
      <c r="F76" s="208" t="s">
        <v>332</v>
      </c>
      <c r="G76" s="248" t="s">
        <v>513</v>
      </c>
      <c r="H76" s="250" t="s">
        <v>333</v>
      </c>
      <c r="I76" s="213"/>
    </row>
    <row r="77" spans="1:9" ht="81">
      <c r="A77" s="313" t="s">
        <v>83</v>
      </c>
      <c r="B77" s="314" t="s">
        <v>144</v>
      </c>
      <c r="C77" s="314" t="s">
        <v>28</v>
      </c>
      <c r="D77" s="313" t="s">
        <v>17</v>
      </c>
      <c r="E77" s="317" t="s">
        <v>525</v>
      </c>
      <c r="F77" s="208" t="s">
        <v>400</v>
      </c>
      <c r="G77" s="248" t="s">
        <v>513</v>
      </c>
      <c r="H77" s="298" t="s">
        <v>401</v>
      </c>
      <c r="I77" s="213"/>
    </row>
    <row r="78" spans="1:9" s="328" customFormat="1" ht="73.5" customHeight="1">
      <c r="A78" s="313" t="s">
        <v>83</v>
      </c>
      <c r="B78" s="314" t="s">
        <v>144</v>
      </c>
      <c r="C78" s="314" t="s">
        <v>28</v>
      </c>
      <c r="D78" s="313" t="s">
        <v>18</v>
      </c>
      <c r="E78" s="317" t="s">
        <v>422</v>
      </c>
      <c r="F78" s="250" t="s">
        <v>323</v>
      </c>
      <c r="G78" s="248" t="s">
        <v>568</v>
      </c>
      <c r="H78" s="377" t="s">
        <v>337</v>
      </c>
      <c r="I78" s="213"/>
    </row>
    <row r="79" spans="1:9" ht="162.75" customHeight="1">
      <c r="A79" s="313" t="s">
        <v>83</v>
      </c>
      <c r="B79" s="314" t="s">
        <v>144</v>
      </c>
      <c r="C79" s="314" t="s">
        <v>28</v>
      </c>
      <c r="D79" s="313" t="s">
        <v>29</v>
      </c>
      <c r="E79" s="208" t="s">
        <v>423</v>
      </c>
      <c r="F79" s="208" t="s">
        <v>233</v>
      </c>
      <c r="G79" s="248" t="s">
        <v>513</v>
      </c>
      <c r="H79" s="208" t="s">
        <v>333</v>
      </c>
      <c r="I79" s="213"/>
    </row>
    <row r="80" spans="1:9" ht="57.75" customHeight="1">
      <c r="A80" s="313" t="s">
        <v>83</v>
      </c>
      <c r="B80" s="314" t="s">
        <v>144</v>
      </c>
      <c r="C80" s="314" t="s">
        <v>28</v>
      </c>
      <c r="D80" s="313" t="s">
        <v>28</v>
      </c>
      <c r="E80" s="208" t="s">
        <v>334</v>
      </c>
      <c r="F80" s="298" t="s">
        <v>479</v>
      </c>
      <c r="G80" s="248" t="s">
        <v>513</v>
      </c>
      <c r="H80" s="250" t="s">
        <v>606</v>
      </c>
      <c r="I80" s="213"/>
    </row>
    <row r="81" spans="1:9" ht="206.25" customHeight="1">
      <c r="A81" s="313" t="s">
        <v>83</v>
      </c>
      <c r="B81" s="314" t="s">
        <v>144</v>
      </c>
      <c r="C81" s="314" t="s">
        <v>28</v>
      </c>
      <c r="D81" s="313" t="s">
        <v>13</v>
      </c>
      <c r="E81" s="208" t="s">
        <v>607</v>
      </c>
      <c r="F81" s="298" t="s">
        <v>335</v>
      </c>
      <c r="G81" s="248" t="s">
        <v>513</v>
      </c>
      <c r="H81" s="250" t="s">
        <v>608</v>
      </c>
      <c r="I81" s="213"/>
    </row>
    <row r="82" spans="1:9" ht="108">
      <c r="A82" s="313" t="s">
        <v>83</v>
      </c>
      <c r="B82" s="314" t="s">
        <v>144</v>
      </c>
      <c r="C82" s="314" t="s">
        <v>28</v>
      </c>
      <c r="D82" s="313" t="s">
        <v>30</v>
      </c>
      <c r="E82" s="317" t="s">
        <v>609</v>
      </c>
      <c r="F82" s="208" t="s">
        <v>233</v>
      </c>
      <c r="G82" s="248" t="s">
        <v>513</v>
      </c>
      <c r="H82" s="317" t="s">
        <v>610</v>
      </c>
      <c r="I82" s="213"/>
    </row>
    <row r="83" spans="1:9" ht="271.5" customHeight="1">
      <c r="A83" s="313" t="s">
        <v>83</v>
      </c>
      <c r="B83" s="314" t="s">
        <v>144</v>
      </c>
      <c r="C83" s="314" t="s">
        <v>28</v>
      </c>
      <c r="D83" s="313" t="s">
        <v>31</v>
      </c>
      <c r="E83" s="208" t="s">
        <v>424</v>
      </c>
      <c r="F83" s="208" t="s">
        <v>474</v>
      </c>
      <c r="G83" s="248" t="s">
        <v>513</v>
      </c>
      <c r="H83" s="208" t="s">
        <v>611</v>
      </c>
      <c r="I83" s="213"/>
    </row>
    <row r="84" spans="1:9" ht="162">
      <c r="A84" s="313" t="s">
        <v>83</v>
      </c>
      <c r="B84" s="314" t="s">
        <v>144</v>
      </c>
      <c r="C84" s="314" t="s">
        <v>28</v>
      </c>
      <c r="D84" s="313" t="s">
        <v>52</v>
      </c>
      <c r="E84" s="208" t="s">
        <v>275</v>
      </c>
      <c r="F84" s="248" t="s">
        <v>474</v>
      </c>
      <c r="G84" s="248" t="s">
        <v>507</v>
      </c>
      <c r="H84" s="250" t="s">
        <v>612</v>
      </c>
      <c r="I84" s="213"/>
    </row>
    <row r="85" spans="1:9" ht="67.5">
      <c r="A85" s="313" t="s">
        <v>83</v>
      </c>
      <c r="B85" s="314" t="s">
        <v>144</v>
      </c>
      <c r="C85" s="314" t="s">
        <v>28</v>
      </c>
      <c r="D85" s="313" t="s">
        <v>205</v>
      </c>
      <c r="E85" s="208" t="s">
        <v>165</v>
      </c>
      <c r="F85" s="377" t="s">
        <v>613</v>
      </c>
      <c r="G85" s="248" t="s">
        <v>513</v>
      </c>
      <c r="H85" s="250" t="s">
        <v>338</v>
      </c>
      <c r="I85" s="213"/>
    </row>
    <row r="86" spans="1:9" ht="162">
      <c r="A86" s="313" t="s">
        <v>83</v>
      </c>
      <c r="B86" s="314" t="s">
        <v>144</v>
      </c>
      <c r="C86" s="314" t="s">
        <v>28</v>
      </c>
      <c r="D86" s="313" t="s">
        <v>306</v>
      </c>
      <c r="E86" s="208" t="s">
        <v>105</v>
      </c>
      <c r="F86" s="298" t="s">
        <v>336</v>
      </c>
      <c r="G86" s="248" t="s">
        <v>73</v>
      </c>
      <c r="H86" s="250" t="s">
        <v>612</v>
      </c>
      <c r="I86" s="213"/>
    </row>
    <row r="87" spans="1:9" ht="135">
      <c r="A87" s="313" t="s">
        <v>83</v>
      </c>
      <c r="B87" s="314" t="s">
        <v>144</v>
      </c>
      <c r="C87" s="314" t="s">
        <v>28</v>
      </c>
      <c r="D87" s="313" t="s">
        <v>307</v>
      </c>
      <c r="E87" s="208" t="s">
        <v>266</v>
      </c>
      <c r="F87" s="298" t="s">
        <v>339</v>
      </c>
      <c r="G87" s="248" t="s">
        <v>73</v>
      </c>
      <c r="H87" s="250" t="s">
        <v>340</v>
      </c>
      <c r="I87" s="213"/>
    </row>
    <row r="88" spans="1:9" ht="83.25" customHeight="1">
      <c r="A88" s="313" t="s">
        <v>83</v>
      </c>
      <c r="B88" s="314" t="s">
        <v>144</v>
      </c>
      <c r="C88" s="314" t="s">
        <v>28</v>
      </c>
      <c r="D88" s="313" t="s">
        <v>308</v>
      </c>
      <c r="E88" s="208" t="s">
        <v>341</v>
      </c>
      <c r="F88" s="377" t="s">
        <v>613</v>
      </c>
      <c r="G88" s="248" t="s">
        <v>513</v>
      </c>
      <c r="H88" s="250" t="s">
        <v>342</v>
      </c>
      <c r="I88" s="213"/>
    </row>
    <row r="89" spans="1:9" ht="67.5" customHeight="1">
      <c r="A89" s="313" t="s">
        <v>83</v>
      </c>
      <c r="B89" s="314" t="s">
        <v>144</v>
      </c>
      <c r="C89" s="314" t="s">
        <v>28</v>
      </c>
      <c r="D89" s="313" t="s">
        <v>309</v>
      </c>
      <c r="E89" s="208" t="s">
        <v>614</v>
      </c>
      <c r="F89" s="377" t="s">
        <v>233</v>
      </c>
      <c r="G89" s="248" t="s">
        <v>513</v>
      </c>
      <c r="H89" s="377" t="s">
        <v>269</v>
      </c>
      <c r="I89" s="213"/>
    </row>
    <row r="90" spans="1:9" ht="137.25" customHeight="1">
      <c r="A90" s="313" t="s">
        <v>83</v>
      </c>
      <c r="B90" s="314" t="s">
        <v>144</v>
      </c>
      <c r="C90" s="314" t="s">
        <v>28</v>
      </c>
      <c r="D90" s="313" t="s">
        <v>310</v>
      </c>
      <c r="E90" s="317" t="s">
        <v>270</v>
      </c>
      <c r="F90" s="377" t="s">
        <v>343</v>
      </c>
      <c r="G90" s="248" t="s">
        <v>507</v>
      </c>
      <c r="H90" s="377" t="s">
        <v>344</v>
      </c>
      <c r="I90" s="213"/>
    </row>
    <row r="91" spans="1:9" ht="375" customHeight="1">
      <c r="A91" s="313" t="s">
        <v>83</v>
      </c>
      <c r="B91" s="314" t="s">
        <v>144</v>
      </c>
      <c r="C91" s="314" t="s">
        <v>28</v>
      </c>
      <c r="D91" s="371">
        <v>17</v>
      </c>
      <c r="E91" s="208" t="s">
        <v>267</v>
      </c>
      <c r="F91" s="208" t="s">
        <v>475</v>
      </c>
      <c r="G91" s="248" t="s">
        <v>73</v>
      </c>
      <c r="H91" s="250" t="s">
        <v>345</v>
      </c>
      <c r="I91" s="213"/>
    </row>
    <row r="92" spans="1:9" ht="76.5" customHeight="1">
      <c r="A92" s="313" t="s">
        <v>83</v>
      </c>
      <c r="B92" s="314" t="s">
        <v>144</v>
      </c>
      <c r="C92" s="314" t="s">
        <v>28</v>
      </c>
      <c r="D92" s="371">
        <v>18</v>
      </c>
      <c r="E92" s="373" t="s">
        <v>615</v>
      </c>
      <c r="F92" s="208" t="s">
        <v>475</v>
      </c>
      <c r="G92" s="248" t="s">
        <v>74</v>
      </c>
      <c r="H92" s="208" t="s">
        <v>616</v>
      </c>
      <c r="I92" s="213"/>
    </row>
    <row r="93" spans="1:9" ht="50.25" customHeight="1">
      <c r="A93" s="346" t="s">
        <v>83</v>
      </c>
      <c r="B93" s="347" t="s">
        <v>177</v>
      </c>
      <c r="C93" s="347"/>
      <c r="D93" s="347"/>
      <c r="E93" s="376" t="s">
        <v>435</v>
      </c>
      <c r="F93" s="207" t="s">
        <v>233</v>
      </c>
      <c r="G93" s="248" t="s">
        <v>569</v>
      </c>
      <c r="H93" s="377"/>
      <c r="I93" s="6"/>
    </row>
    <row r="94" spans="1:9" ht="67.5" customHeight="1">
      <c r="A94" s="490" t="s">
        <v>83</v>
      </c>
      <c r="B94" s="500" t="s">
        <v>177</v>
      </c>
      <c r="C94" s="500" t="s">
        <v>15</v>
      </c>
      <c r="D94" s="500"/>
      <c r="E94" s="502" t="s">
        <v>519</v>
      </c>
      <c r="F94" s="207" t="s">
        <v>530</v>
      </c>
      <c r="G94" s="248" t="s">
        <v>520</v>
      </c>
      <c r="H94" s="488" t="s">
        <v>180</v>
      </c>
      <c r="I94" s="475" t="s">
        <v>571</v>
      </c>
    </row>
    <row r="95" spans="1:9" ht="40.5">
      <c r="A95" s="491"/>
      <c r="B95" s="501"/>
      <c r="C95" s="501"/>
      <c r="D95" s="501"/>
      <c r="E95" s="503"/>
      <c r="F95" s="207" t="s">
        <v>233</v>
      </c>
      <c r="G95" s="248" t="s">
        <v>363</v>
      </c>
      <c r="H95" s="489"/>
      <c r="I95" s="476"/>
    </row>
    <row r="96" spans="1:9" ht="54">
      <c r="A96" s="475" t="s">
        <v>83</v>
      </c>
      <c r="B96" s="498" t="s">
        <v>177</v>
      </c>
      <c r="C96" s="498" t="s">
        <v>15</v>
      </c>
      <c r="D96" s="498" t="s">
        <v>15</v>
      </c>
      <c r="E96" s="208" t="s">
        <v>522</v>
      </c>
      <c r="F96" s="207" t="s">
        <v>110</v>
      </c>
      <c r="G96" s="248" t="s">
        <v>71</v>
      </c>
      <c r="H96" s="494" t="s">
        <v>523</v>
      </c>
      <c r="I96" s="475"/>
    </row>
    <row r="97" spans="1:9" ht="94.5">
      <c r="A97" s="476"/>
      <c r="B97" s="499"/>
      <c r="C97" s="499"/>
      <c r="D97" s="499"/>
      <c r="E97" s="208" t="s">
        <v>445</v>
      </c>
      <c r="F97" s="207" t="s">
        <v>233</v>
      </c>
      <c r="G97" s="248" t="s">
        <v>363</v>
      </c>
      <c r="H97" s="495"/>
      <c r="I97" s="476"/>
    </row>
    <row r="98" spans="1:9" ht="40.5">
      <c r="A98" s="475" t="s">
        <v>83</v>
      </c>
      <c r="B98" s="498" t="s">
        <v>177</v>
      </c>
      <c r="C98" s="498" t="s">
        <v>15</v>
      </c>
      <c r="D98" s="498" t="s">
        <v>16</v>
      </c>
      <c r="E98" s="208" t="s">
        <v>526</v>
      </c>
      <c r="F98" s="207" t="s">
        <v>110</v>
      </c>
      <c r="G98" s="248" t="s">
        <v>71</v>
      </c>
      <c r="H98" s="494" t="s">
        <v>523</v>
      </c>
      <c r="I98" s="213"/>
    </row>
    <row r="99" spans="1:9" ht="135">
      <c r="A99" s="476"/>
      <c r="B99" s="499"/>
      <c r="C99" s="499"/>
      <c r="D99" s="499"/>
      <c r="E99" s="377" t="s">
        <v>527</v>
      </c>
      <c r="F99" s="207" t="s">
        <v>524</v>
      </c>
      <c r="G99" s="248" t="s">
        <v>521</v>
      </c>
      <c r="H99" s="495"/>
      <c r="I99" s="486"/>
    </row>
    <row r="100" spans="1:9" ht="45" customHeight="1">
      <c r="A100" s="313">
        <v>39</v>
      </c>
      <c r="B100" s="314">
        <v>3</v>
      </c>
      <c r="C100" s="314" t="s">
        <v>15</v>
      </c>
      <c r="D100" s="314" t="s">
        <v>17</v>
      </c>
      <c r="E100" s="377" t="s">
        <v>255</v>
      </c>
      <c r="F100" s="207" t="s">
        <v>233</v>
      </c>
      <c r="G100" s="248" t="s">
        <v>363</v>
      </c>
      <c r="H100" s="208" t="s">
        <v>523</v>
      </c>
      <c r="I100" s="487"/>
    </row>
    <row r="101" spans="1:9" ht="54">
      <c r="A101" s="475" t="s">
        <v>83</v>
      </c>
      <c r="B101" s="498" t="s">
        <v>177</v>
      </c>
      <c r="C101" s="498" t="s">
        <v>15</v>
      </c>
      <c r="D101" s="498" t="s">
        <v>18</v>
      </c>
      <c r="E101" s="377" t="s">
        <v>528</v>
      </c>
      <c r="F101" s="207" t="s">
        <v>110</v>
      </c>
      <c r="G101" s="248" t="s">
        <v>71</v>
      </c>
      <c r="H101" s="488" t="s">
        <v>523</v>
      </c>
      <c r="I101" s="372"/>
    </row>
    <row r="102" spans="1:9" ht="81">
      <c r="A102" s="476"/>
      <c r="B102" s="499"/>
      <c r="C102" s="499"/>
      <c r="D102" s="499"/>
      <c r="E102" s="377" t="s">
        <v>529</v>
      </c>
      <c r="F102" s="207" t="s">
        <v>233</v>
      </c>
      <c r="G102" s="371" t="s">
        <v>363</v>
      </c>
      <c r="H102" s="489"/>
      <c r="I102" s="213"/>
    </row>
    <row r="103" spans="1:9" ht="84.75" customHeight="1">
      <c r="A103" s="475" t="s">
        <v>83</v>
      </c>
      <c r="B103" s="498" t="s">
        <v>177</v>
      </c>
      <c r="C103" s="498" t="s">
        <v>15</v>
      </c>
      <c r="D103" s="498" t="s">
        <v>29</v>
      </c>
      <c r="E103" s="377" t="s">
        <v>531</v>
      </c>
      <c r="F103" s="207" t="s">
        <v>110</v>
      </c>
      <c r="G103" s="371" t="s">
        <v>71</v>
      </c>
      <c r="H103" s="488" t="s">
        <v>523</v>
      </c>
      <c r="I103" s="213"/>
    </row>
    <row r="104" spans="1:9" ht="65.25" customHeight="1">
      <c r="A104" s="476"/>
      <c r="B104" s="499"/>
      <c r="C104" s="499"/>
      <c r="D104" s="499"/>
      <c r="E104" s="377" t="s">
        <v>259</v>
      </c>
      <c r="F104" s="207" t="s">
        <v>233</v>
      </c>
      <c r="G104" s="371" t="s">
        <v>363</v>
      </c>
      <c r="H104" s="489"/>
      <c r="I104" s="213"/>
    </row>
    <row r="105" spans="1:9" ht="216" customHeight="1">
      <c r="A105" s="323" t="s">
        <v>83</v>
      </c>
      <c r="B105" s="324" t="s">
        <v>177</v>
      </c>
      <c r="C105" s="324" t="s">
        <v>15</v>
      </c>
      <c r="D105" s="324" t="s">
        <v>28</v>
      </c>
      <c r="E105" s="207" t="s">
        <v>193</v>
      </c>
      <c r="F105" s="207" t="s">
        <v>78</v>
      </c>
      <c r="G105" s="205" t="s">
        <v>481</v>
      </c>
      <c r="H105" s="321" t="s">
        <v>252</v>
      </c>
      <c r="I105" s="213"/>
    </row>
    <row r="106" spans="1:9" ht="54">
      <c r="A106" s="323" t="s">
        <v>83</v>
      </c>
      <c r="B106" s="324" t="s">
        <v>177</v>
      </c>
      <c r="C106" s="324" t="s">
        <v>15</v>
      </c>
      <c r="D106" s="324" t="s">
        <v>13</v>
      </c>
      <c r="E106" s="207" t="s">
        <v>200</v>
      </c>
      <c r="F106" s="207" t="s">
        <v>78</v>
      </c>
      <c r="G106" s="205" t="s">
        <v>481</v>
      </c>
      <c r="H106" s="321" t="s">
        <v>252</v>
      </c>
      <c r="I106" s="213"/>
    </row>
    <row r="107" spans="1:9" ht="81">
      <c r="A107" s="323" t="s">
        <v>83</v>
      </c>
      <c r="B107" s="324" t="s">
        <v>177</v>
      </c>
      <c r="C107" s="324" t="s">
        <v>15</v>
      </c>
      <c r="D107" s="324" t="s">
        <v>30</v>
      </c>
      <c r="E107" s="301" t="s">
        <v>254</v>
      </c>
      <c r="F107" s="207" t="s">
        <v>532</v>
      </c>
      <c r="G107" s="371" t="s">
        <v>540</v>
      </c>
      <c r="H107" s="322" t="s">
        <v>180</v>
      </c>
      <c r="I107" s="213"/>
    </row>
    <row r="108" spans="1:9" ht="81">
      <c r="A108" s="323" t="s">
        <v>83</v>
      </c>
      <c r="B108" s="324" t="s">
        <v>177</v>
      </c>
      <c r="C108" s="324" t="s">
        <v>15</v>
      </c>
      <c r="D108" s="323" t="s">
        <v>31</v>
      </c>
      <c r="E108" s="377" t="s">
        <v>533</v>
      </c>
      <c r="F108" s="207" t="s">
        <v>532</v>
      </c>
      <c r="G108" s="205" t="s">
        <v>363</v>
      </c>
      <c r="H108" s="322" t="s">
        <v>180</v>
      </c>
      <c r="I108" s="213"/>
    </row>
    <row r="109" spans="1:9" ht="40.5" customHeight="1">
      <c r="A109" s="496" t="s">
        <v>83</v>
      </c>
      <c r="B109" s="506" t="s">
        <v>177</v>
      </c>
      <c r="C109" s="506" t="s">
        <v>15</v>
      </c>
      <c r="D109" s="496" t="s">
        <v>52</v>
      </c>
      <c r="E109" s="504" t="s">
        <v>534</v>
      </c>
      <c r="F109" s="207" t="s">
        <v>110</v>
      </c>
      <c r="G109" s="205" t="s">
        <v>71</v>
      </c>
      <c r="H109" s="492" t="s">
        <v>180</v>
      </c>
      <c r="I109" s="213"/>
    </row>
    <row r="110" spans="1:9" ht="105.75" customHeight="1">
      <c r="A110" s="497"/>
      <c r="B110" s="507"/>
      <c r="C110" s="507"/>
      <c r="D110" s="497"/>
      <c r="E110" s="505"/>
      <c r="F110" s="301" t="s">
        <v>233</v>
      </c>
      <c r="G110" s="249" t="s">
        <v>517</v>
      </c>
      <c r="H110" s="493"/>
      <c r="I110" s="213"/>
    </row>
    <row r="111" spans="1:9" ht="217.5" customHeight="1">
      <c r="A111" s="323" t="s">
        <v>83</v>
      </c>
      <c r="B111" s="324" t="s">
        <v>177</v>
      </c>
      <c r="C111" s="324" t="s">
        <v>15</v>
      </c>
      <c r="D111" s="323" t="s">
        <v>205</v>
      </c>
      <c r="E111" s="377" t="s">
        <v>535</v>
      </c>
      <c r="F111" s="301" t="s">
        <v>233</v>
      </c>
      <c r="G111" s="249" t="s">
        <v>517</v>
      </c>
      <c r="H111" s="322" t="s">
        <v>180</v>
      </c>
      <c r="I111" s="213"/>
    </row>
    <row r="112" spans="1:9" ht="84" customHeight="1">
      <c r="A112" s="323" t="s">
        <v>83</v>
      </c>
      <c r="B112" s="324" t="s">
        <v>177</v>
      </c>
      <c r="C112" s="324" t="s">
        <v>15</v>
      </c>
      <c r="D112" s="323" t="s">
        <v>306</v>
      </c>
      <c r="E112" s="377" t="s">
        <v>257</v>
      </c>
      <c r="F112" s="301" t="s">
        <v>233</v>
      </c>
      <c r="G112" s="249" t="s">
        <v>517</v>
      </c>
      <c r="H112" s="322" t="s">
        <v>180</v>
      </c>
      <c r="I112" s="213"/>
    </row>
    <row r="113" spans="1:9" ht="56.25" customHeight="1">
      <c r="A113" s="346" t="s">
        <v>83</v>
      </c>
      <c r="B113" s="347" t="s">
        <v>177</v>
      </c>
      <c r="C113" s="347" t="s">
        <v>16</v>
      </c>
      <c r="D113" s="346"/>
      <c r="E113" s="374" t="s">
        <v>187</v>
      </c>
      <c r="F113" s="207" t="s">
        <v>233</v>
      </c>
      <c r="G113" s="320" t="s">
        <v>481</v>
      </c>
      <c r="H113" s="301"/>
      <c r="I113" s="248" t="s">
        <v>421</v>
      </c>
    </row>
    <row r="114" spans="1:9" ht="100.5" customHeight="1">
      <c r="A114" s="313" t="s">
        <v>83</v>
      </c>
      <c r="B114" s="314" t="s">
        <v>177</v>
      </c>
      <c r="C114" s="314" t="s">
        <v>16</v>
      </c>
      <c r="D114" s="313" t="s">
        <v>15</v>
      </c>
      <c r="E114" s="207" t="s">
        <v>188</v>
      </c>
      <c r="F114" s="207" t="s">
        <v>355</v>
      </c>
      <c r="G114" s="371" t="s">
        <v>484</v>
      </c>
      <c r="H114" s="377" t="s">
        <v>252</v>
      </c>
      <c r="I114" s="213"/>
    </row>
    <row r="115" spans="1:9" ht="67.5">
      <c r="A115" s="313" t="s">
        <v>83</v>
      </c>
      <c r="B115" s="314" t="s">
        <v>177</v>
      </c>
      <c r="C115" s="314" t="s">
        <v>16</v>
      </c>
      <c r="D115" s="313" t="s">
        <v>16</v>
      </c>
      <c r="E115" s="207" t="s">
        <v>189</v>
      </c>
      <c r="F115" s="210" t="s">
        <v>572</v>
      </c>
      <c r="G115" s="320" t="s">
        <v>510</v>
      </c>
      <c r="H115" s="377" t="s">
        <v>252</v>
      </c>
      <c r="I115" s="213"/>
    </row>
    <row r="116" spans="1:9" ht="81">
      <c r="A116" s="475" t="s">
        <v>83</v>
      </c>
      <c r="B116" s="498" t="s">
        <v>177</v>
      </c>
      <c r="C116" s="498" t="s">
        <v>16</v>
      </c>
      <c r="D116" s="475" t="s">
        <v>17</v>
      </c>
      <c r="E116" s="377" t="s">
        <v>253</v>
      </c>
      <c r="F116" s="488" t="s">
        <v>78</v>
      </c>
      <c r="G116" s="249" t="s">
        <v>72</v>
      </c>
      <c r="H116" s="492" t="s">
        <v>252</v>
      </c>
      <c r="I116" s="213"/>
    </row>
    <row r="117" spans="1:9" ht="94.5">
      <c r="A117" s="476"/>
      <c r="B117" s="499"/>
      <c r="C117" s="499"/>
      <c r="D117" s="476"/>
      <c r="E117" s="377" t="s">
        <v>538</v>
      </c>
      <c r="F117" s="489"/>
      <c r="G117" s="249" t="s">
        <v>539</v>
      </c>
      <c r="H117" s="493"/>
      <c r="I117" s="213"/>
    </row>
    <row r="118" spans="1:9" ht="67.5" customHeight="1">
      <c r="A118" s="313" t="s">
        <v>83</v>
      </c>
      <c r="B118" s="314" t="s">
        <v>177</v>
      </c>
      <c r="C118" s="314" t="s">
        <v>16</v>
      </c>
      <c r="D118" s="313" t="s">
        <v>18</v>
      </c>
      <c r="E118" s="377" t="s">
        <v>536</v>
      </c>
      <c r="F118" s="377" t="s">
        <v>537</v>
      </c>
      <c r="G118" s="301" t="s">
        <v>517</v>
      </c>
      <c r="H118" s="325" t="s">
        <v>252</v>
      </c>
      <c r="I118" s="213"/>
    </row>
    <row r="119" spans="1:9" ht="81">
      <c r="A119" s="313" t="s">
        <v>83</v>
      </c>
      <c r="B119" s="314" t="s">
        <v>177</v>
      </c>
      <c r="C119" s="314" t="s">
        <v>16</v>
      </c>
      <c r="D119" s="313" t="s">
        <v>29</v>
      </c>
      <c r="E119" s="326" t="s">
        <v>446</v>
      </c>
      <c r="F119" s="377" t="s">
        <v>78</v>
      </c>
      <c r="G119" s="301" t="s">
        <v>517</v>
      </c>
      <c r="H119" s="377" t="s">
        <v>252</v>
      </c>
      <c r="I119" s="213"/>
    </row>
    <row r="120" spans="1:9" ht="108">
      <c r="A120" s="313" t="s">
        <v>83</v>
      </c>
      <c r="B120" s="314" t="s">
        <v>177</v>
      </c>
      <c r="C120" s="314" t="s">
        <v>16</v>
      </c>
      <c r="D120" s="313" t="s">
        <v>28</v>
      </c>
      <c r="E120" s="326" t="s">
        <v>436</v>
      </c>
      <c r="F120" s="377" t="s">
        <v>78</v>
      </c>
      <c r="G120" s="301" t="s">
        <v>517</v>
      </c>
      <c r="H120" s="377" t="s">
        <v>252</v>
      </c>
      <c r="I120" s="213"/>
    </row>
    <row r="121" spans="1:9" ht="67.5">
      <c r="A121" s="313" t="s">
        <v>83</v>
      </c>
      <c r="B121" s="314" t="s">
        <v>177</v>
      </c>
      <c r="C121" s="314" t="s">
        <v>16</v>
      </c>
      <c r="D121" s="313" t="s">
        <v>13</v>
      </c>
      <c r="E121" s="326" t="s">
        <v>437</v>
      </c>
      <c r="F121" s="377" t="s">
        <v>78</v>
      </c>
      <c r="G121" s="301" t="s">
        <v>517</v>
      </c>
      <c r="H121" s="377" t="s">
        <v>252</v>
      </c>
      <c r="I121" s="213"/>
    </row>
    <row r="122" spans="1:9" ht="81">
      <c r="A122" s="313" t="s">
        <v>83</v>
      </c>
      <c r="B122" s="314" t="s">
        <v>177</v>
      </c>
      <c r="C122" s="314" t="s">
        <v>16</v>
      </c>
      <c r="D122" s="313" t="s">
        <v>30</v>
      </c>
      <c r="E122" s="327" t="s">
        <v>438</v>
      </c>
      <c r="F122" s="377" t="s">
        <v>78</v>
      </c>
      <c r="G122" s="301" t="s">
        <v>517</v>
      </c>
      <c r="H122" s="377" t="s">
        <v>252</v>
      </c>
      <c r="I122" s="213"/>
    </row>
    <row r="123" spans="1:9" ht="60" customHeight="1">
      <c r="A123" s="346" t="s">
        <v>83</v>
      </c>
      <c r="B123" s="347" t="s">
        <v>177</v>
      </c>
      <c r="C123" s="347" t="s">
        <v>17</v>
      </c>
      <c r="D123" s="346"/>
      <c r="E123" s="374" t="s">
        <v>174</v>
      </c>
      <c r="F123" s="207" t="s">
        <v>78</v>
      </c>
      <c r="G123" s="205" t="s">
        <v>481</v>
      </c>
      <c r="H123" s="210" t="s">
        <v>181</v>
      </c>
      <c r="I123" s="248" t="s">
        <v>420</v>
      </c>
    </row>
    <row r="124" spans="1:9" ht="54">
      <c r="A124" s="313" t="s">
        <v>83</v>
      </c>
      <c r="B124" s="314" t="s">
        <v>177</v>
      </c>
      <c r="C124" s="314" t="s">
        <v>17</v>
      </c>
      <c r="D124" s="313" t="s">
        <v>15</v>
      </c>
      <c r="E124" s="207" t="s">
        <v>190</v>
      </c>
      <c r="F124" s="207" t="s">
        <v>78</v>
      </c>
      <c r="G124" s="205" t="s">
        <v>481</v>
      </c>
      <c r="H124" s="207" t="s">
        <v>242</v>
      </c>
      <c r="I124" s="213"/>
    </row>
    <row r="125" spans="1:9" ht="94.5">
      <c r="A125" s="313" t="s">
        <v>83</v>
      </c>
      <c r="B125" s="314" t="s">
        <v>177</v>
      </c>
      <c r="C125" s="314" t="s">
        <v>17</v>
      </c>
      <c r="D125" s="313" t="s">
        <v>16</v>
      </c>
      <c r="E125" s="207" t="s">
        <v>196</v>
      </c>
      <c r="F125" s="207" t="s">
        <v>355</v>
      </c>
      <c r="G125" s="371" t="s">
        <v>484</v>
      </c>
      <c r="H125" s="210" t="s">
        <v>181</v>
      </c>
      <c r="I125" s="213"/>
    </row>
    <row r="126" spans="1:9" ht="67.5">
      <c r="A126" s="475" t="s">
        <v>83</v>
      </c>
      <c r="B126" s="475" t="s">
        <v>177</v>
      </c>
      <c r="C126" s="475" t="s">
        <v>17</v>
      </c>
      <c r="D126" s="475" t="s">
        <v>17</v>
      </c>
      <c r="E126" s="377" t="s">
        <v>175</v>
      </c>
      <c r="F126" s="207" t="s">
        <v>78</v>
      </c>
      <c r="G126" s="205" t="s">
        <v>510</v>
      </c>
      <c r="H126" s="473" t="s">
        <v>243</v>
      </c>
      <c r="I126" s="213"/>
    </row>
    <row r="127" spans="1:9" ht="54">
      <c r="A127" s="476"/>
      <c r="B127" s="476"/>
      <c r="C127" s="476"/>
      <c r="D127" s="476"/>
      <c r="E127" s="377" t="s">
        <v>573</v>
      </c>
      <c r="F127" s="207" t="s">
        <v>78</v>
      </c>
      <c r="G127" s="205" t="s">
        <v>513</v>
      </c>
      <c r="H127" s="474"/>
      <c r="I127" s="213"/>
    </row>
    <row r="128" spans="1:9" ht="67.5">
      <c r="A128" s="313" t="s">
        <v>83</v>
      </c>
      <c r="B128" s="314" t="s">
        <v>177</v>
      </c>
      <c r="C128" s="314" t="s">
        <v>17</v>
      </c>
      <c r="D128" s="313" t="s">
        <v>18</v>
      </c>
      <c r="E128" s="207" t="s">
        <v>176</v>
      </c>
      <c r="F128" s="207" t="s">
        <v>78</v>
      </c>
      <c r="G128" s="205" t="s">
        <v>481</v>
      </c>
      <c r="H128" s="207" t="s">
        <v>242</v>
      </c>
      <c r="I128" s="213"/>
    </row>
    <row r="129" spans="1:9" ht="81">
      <c r="A129" s="313" t="s">
        <v>83</v>
      </c>
      <c r="B129" s="314" t="s">
        <v>177</v>
      </c>
      <c r="C129" s="314" t="s">
        <v>17</v>
      </c>
      <c r="D129" s="313" t="s">
        <v>29</v>
      </c>
      <c r="E129" s="207" t="s">
        <v>191</v>
      </c>
      <c r="F129" s="207" t="s">
        <v>78</v>
      </c>
      <c r="G129" s="205" t="s">
        <v>481</v>
      </c>
      <c r="H129" s="207" t="s">
        <v>243</v>
      </c>
      <c r="I129" s="213"/>
    </row>
    <row r="130" spans="1:9" ht="18.75">
      <c r="I130" s="277" t="s">
        <v>443</v>
      </c>
    </row>
    <row r="131" spans="1:9">
      <c r="F131" s="52" t="s">
        <v>444</v>
      </c>
    </row>
  </sheetData>
  <mergeCells count="55">
    <mergeCell ref="A116:A117"/>
    <mergeCell ref="B116:B117"/>
    <mergeCell ref="C116:C117"/>
    <mergeCell ref="D116:D117"/>
    <mergeCell ref="F116:F117"/>
    <mergeCell ref="H116:H117"/>
    <mergeCell ref="H101:H102"/>
    <mergeCell ref="B94:B95"/>
    <mergeCell ref="C94:C95"/>
    <mergeCell ref="D94:D95"/>
    <mergeCell ref="E94:E95"/>
    <mergeCell ref="B101:B102"/>
    <mergeCell ref="C101:C102"/>
    <mergeCell ref="D101:D102"/>
    <mergeCell ref="B103:B104"/>
    <mergeCell ref="C103:C104"/>
    <mergeCell ref="D103:D104"/>
    <mergeCell ref="E109:E110"/>
    <mergeCell ref="B109:B110"/>
    <mergeCell ref="C109:C110"/>
    <mergeCell ref="D109:D110"/>
    <mergeCell ref="H109:H110"/>
    <mergeCell ref="H94:H95"/>
    <mergeCell ref="H96:H97"/>
    <mergeCell ref="H98:H99"/>
    <mergeCell ref="A101:A102"/>
    <mergeCell ref="A103:A104"/>
    <mergeCell ref="A109:A110"/>
    <mergeCell ref="A96:A97"/>
    <mergeCell ref="B96:B97"/>
    <mergeCell ref="C96:C97"/>
    <mergeCell ref="D96:D97"/>
    <mergeCell ref="A98:A99"/>
    <mergeCell ref="B98:B99"/>
    <mergeCell ref="C98:C99"/>
    <mergeCell ref="D98:D99"/>
    <mergeCell ref="I94:I95"/>
    <mergeCell ref="I96:I97"/>
    <mergeCell ref="I99:I100"/>
    <mergeCell ref="H103:H104"/>
    <mergeCell ref="A94:A95"/>
    <mergeCell ref="I17:I18"/>
    <mergeCell ref="E13:H13"/>
    <mergeCell ref="E15:H15"/>
    <mergeCell ref="H17:H18"/>
    <mergeCell ref="A17:D17"/>
    <mergeCell ref="E17:E18"/>
    <mergeCell ref="F17:F18"/>
    <mergeCell ref="G17:G18"/>
    <mergeCell ref="A13:D14"/>
    <mergeCell ref="H126:H127"/>
    <mergeCell ref="A126:A127"/>
    <mergeCell ref="B126:B127"/>
    <mergeCell ref="C126:C127"/>
    <mergeCell ref="D126:D127"/>
  </mergeCells>
  <printOptions horizontalCentered="1"/>
  <pageMargins left="0.23622047244094491" right="0.15748031496062992" top="0.39370078740157483" bottom="0.19685039370078741" header="0.19685039370078741" footer="0.19685039370078741"/>
  <pageSetup paperSize="9" scale="70" fitToHeight="12" orientation="landscape" r:id="rId1"/>
  <headerFooter differentFirst="1">
    <oddHeader>&amp;C&amp;"Times New Roman,обычный"&amp;14&amp;P</oddHeader>
  </headerFooter>
  <rowBreaks count="15" manualBreakCount="15">
    <brk id="26" max="8" man="1"/>
    <brk id="31" max="8" man="1"/>
    <brk id="40" max="8" man="1"/>
    <brk id="47" max="8" man="1"/>
    <brk id="57" max="8" man="1"/>
    <brk id="63" max="8" man="1"/>
    <brk id="72" max="8" man="1"/>
    <brk id="79" max="8" man="1"/>
    <brk id="83" max="8" man="1"/>
    <brk id="88" max="8" man="1"/>
    <brk id="92" max="8" man="1"/>
    <brk id="102" max="8" man="1"/>
    <brk id="110" max="8" man="1"/>
    <brk id="117" max="8" man="1"/>
    <brk id="127" max="8" man="1"/>
  </rowBreaks>
</worksheet>
</file>

<file path=xl/worksheets/sheet3.xml><?xml version="1.0" encoding="utf-8"?>
<worksheet xmlns="http://schemas.openxmlformats.org/spreadsheetml/2006/main" xmlns:r="http://schemas.openxmlformats.org/officeDocument/2006/relationships">
  <sheetPr>
    <tabColor theme="6" tint="0.39997558519241921"/>
    <pageSetUpPr fitToPage="1"/>
  </sheetPr>
  <dimension ref="A1:Y28"/>
  <sheetViews>
    <sheetView view="pageBreakPreview" zoomScale="90" zoomScaleNormal="100" zoomScaleSheetLayoutView="90" zoomScalePageLayoutView="80" workbookViewId="0">
      <selection activeCell="D28" sqref="D28"/>
    </sheetView>
  </sheetViews>
  <sheetFormatPr defaultColWidth="9.140625" defaultRowHeight="15"/>
  <cols>
    <col min="1" max="1" width="6.85546875" style="284" customWidth="1"/>
    <col min="2" max="2" width="8.140625" style="284" customWidth="1"/>
    <col min="3" max="3" width="6.140625" style="284" customWidth="1"/>
    <col min="4" max="4" width="39.28515625" style="21" customWidth="1"/>
    <col min="5" max="5" width="18" style="21" customWidth="1"/>
    <col min="6" max="6" width="11.42578125" style="21" hidden="1" customWidth="1"/>
    <col min="7" max="10" width="14.28515625" style="284" customWidth="1"/>
    <col min="11" max="11" width="12.85546875" style="284" customWidth="1"/>
    <col min="12" max="12" width="12.42578125" style="284" customWidth="1"/>
    <col min="13" max="13" width="12" style="284" customWidth="1"/>
    <col min="14" max="14" width="11.85546875" style="284" customWidth="1"/>
    <col min="15" max="15" width="12.7109375" style="284" customWidth="1"/>
    <col min="16" max="16" width="31.7109375" style="21" customWidth="1"/>
    <col min="17" max="17" width="33.5703125" style="21" customWidth="1"/>
    <col min="18" max="16384" width="9.140625" style="21"/>
  </cols>
  <sheetData>
    <row r="1" spans="1:25" ht="18.75">
      <c r="N1" s="283" t="s">
        <v>63</v>
      </c>
    </row>
    <row r="2" spans="1:25" ht="18.75">
      <c r="N2" s="283" t="s">
        <v>431</v>
      </c>
    </row>
    <row r="3" spans="1:25" ht="18.75">
      <c r="N3" s="297" t="s">
        <v>432</v>
      </c>
    </row>
    <row r="4" spans="1:25" ht="18.75">
      <c r="N4" s="297" t="s">
        <v>433</v>
      </c>
    </row>
    <row r="7" spans="1:25" ht="15.75" customHeight="1">
      <c r="A7" s="105"/>
      <c r="B7" s="105"/>
      <c r="C7" s="105"/>
      <c r="D7" s="106"/>
      <c r="E7" s="106"/>
      <c r="F7" s="106"/>
      <c r="G7" s="107"/>
      <c r="H7" s="107"/>
      <c r="I7" s="107"/>
      <c r="J7" s="107"/>
      <c r="L7" s="160"/>
      <c r="M7" s="160"/>
      <c r="N7" s="160" t="s">
        <v>32</v>
      </c>
      <c r="O7" s="160"/>
      <c r="P7" s="160"/>
      <c r="Q7" s="41"/>
      <c r="R7" s="41"/>
      <c r="S7" s="41"/>
    </row>
    <row r="8" spans="1:25" ht="13.5" customHeight="1">
      <c r="A8" s="105"/>
      <c r="B8" s="105"/>
      <c r="C8" s="105"/>
      <c r="D8" s="106"/>
      <c r="E8" s="106"/>
      <c r="F8" s="106"/>
      <c r="G8" s="107"/>
      <c r="H8" s="107"/>
      <c r="I8" s="107"/>
      <c r="J8" s="107"/>
      <c r="L8" s="160"/>
      <c r="M8" s="160"/>
      <c r="N8" s="160" t="s">
        <v>116</v>
      </c>
      <c r="O8" s="161"/>
      <c r="P8" s="161"/>
      <c r="Q8" s="42"/>
      <c r="R8" s="42"/>
      <c r="S8" s="42"/>
    </row>
    <row r="9" spans="1:25" s="168" customFormat="1" ht="15" customHeight="1">
      <c r="A9" s="105"/>
      <c r="B9" s="105"/>
      <c r="C9" s="105"/>
      <c r="D9" s="109"/>
      <c r="E9" s="108"/>
      <c r="F9" s="108"/>
      <c r="G9" s="108"/>
      <c r="H9" s="108"/>
      <c r="I9" s="108"/>
      <c r="J9" s="108"/>
      <c r="L9" s="160"/>
      <c r="M9" s="160"/>
      <c r="N9" s="160" t="s">
        <v>184</v>
      </c>
      <c r="O9" s="160"/>
      <c r="P9" s="108"/>
      <c r="S9" s="22"/>
    </row>
    <row r="10" spans="1:25" ht="23.25" customHeight="1">
      <c r="A10" s="105"/>
      <c r="B10" s="105"/>
      <c r="C10" s="105"/>
      <c r="D10" s="106"/>
      <c r="E10" s="108"/>
      <c r="F10" s="108"/>
      <c r="G10" s="108"/>
      <c r="H10" s="108"/>
      <c r="I10" s="108"/>
      <c r="J10" s="108"/>
      <c r="K10" s="108"/>
      <c r="L10" s="108"/>
      <c r="M10" s="108"/>
      <c r="N10" s="108"/>
      <c r="O10" s="108"/>
      <c r="P10" s="108"/>
      <c r="S10" s="22"/>
    </row>
    <row r="11" spans="1:25" ht="23.25" customHeight="1">
      <c r="A11" s="105"/>
      <c r="B11" s="105"/>
      <c r="C11" s="105"/>
      <c r="D11" s="106"/>
      <c r="E11" s="108"/>
      <c r="F11" s="108"/>
      <c r="G11" s="108"/>
      <c r="H11" s="108"/>
      <c r="I11" s="108" t="s">
        <v>448</v>
      </c>
      <c r="J11" s="108"/>
      <c r="K11" s="108"/>
      <c r="L11" s="108"/>
      <c r="M11" s="108"/>
      <c r="N11" s="108"/>
      <c r="O11" s="108"/>
      <c r="P11" s="108"/>
      <c r="S11" s="22"/>
    </row>
    <row r="12" spans="1:25" ht="15" customHeight="1">
      <c r="A12" s="521" t="s">
        <v>447</v>
      </c>
      <c r="B12" s="521"/>
      <c r="C12" s="521"/>
      <c r="D12" s="521"/>
      <c r="E12" s="521"/>
      <c r="F12" s="521"/>
      <c r="G12" s="521"/>
      <c r="H12" s="521"/>
      <c r="I12" s="521"/>
      <c r="J12" s="521"/>
      <c r="K12" s="521"/>
      <c r="L12" s="521"/>
      <c r="M12" s="521"/>
      <c r="N12" s="521"/>
      <c r="O12" s="521"/>
      <c r="P12" s="521"/>
      <c r="Q12" s="43"/>
      <c r="R12" s="43"/>
      <c r="S12" s="43"/>
    </row>
    <row r="13" spans="1:25" ht="15.75">
      <c r="A13" s="80"/>
      <c r="B13" s="80"/>
      <c r="C13" s="80"/>
      <c r="D13" s="14"/>
      <c r="E13" s="79"/>
      <c r="F13" s="79"/>
      <c r="G13" s="79"/>
      <c r="H13" s="79"/>
      <c r="I13" s="79"/>
      <c r="J13" s="79"/>
      <c r="K13" s="79"/>
      <c r="L13" s="79"/>
      <c r="M13" s="79"/>
      <c r="N13" s="79"/>
      <c r="O13" s="79"/>
      <c r="P13" s="79"/>
      <c r="Q13" s="23"/>
      <c r="R13" s="23"/>
      <c r="S13" s="23"/>
    </row>
    <row r="14" spans="1:25" ht="19.5">
      <c r="A14" s="509" t="s">
        <v>0</v>
      </c>
      <c r="B14" s="509"/>
      <c r="C14" s="509"/>
      <c r="D14" s="509"/>
      <c r="E14" s="462" t="s">
        <v>112</v>
      </c>
      <c r="F14" s="462"/>
      <c r="G14" s="462"/>
      <c r="H14" s="462"/>
      <c r="I14" s="462"/>
      <c r="J14" s="462"/>
      <c r="K14" s="462"/>
      <c r="L14" s="462"/>
      <c r="M14" s="462"/>
      <c r="N14" s="462"/>
      <c r="O14" s="462"/>
      <c r="P14" s="462"/>
      <c r="Q14" s="24"/>
    </row>
    <row r="15" spans="1:25" ht="18.75">
      <c r="A15" s="105"/>
      <c r="B15" s="105"/>
      <c r="C15" s="105"/>
      <c r="D15" s="106"/>
      <c r="E15" s="109"/>
      <c r="F15" s="522" t="s">
        <v>1</v>
      </c>
      <c r="G15" s="522"/>
      <c r="H15" s="522"/>
      <c r="I15" s="522"/>
      <c r="J15" s="522"/>
      <c r="K15" s="522"/>
      <c r="L15" s="522"/>
      <c r="M15" s="522"/>
      <c r="N15" s="522"/>
      <c r="O15" s="522"/>
      <c r="P15" s="522"/>
      <c r="Q15" s="25"/>
      <c r="R15" s="25"/>
      <c r="S15" s="25"/>
    </row>
    <row r="16" spans="1:25" ht="19.5">
      <c r="A16" s="510" t="s">
        <v>20</v>
      </c>
      <c r="B16" s="510"/>
      <c r="C16" s="510"/>
      <c r="D16" s="510"/>
      <c r="E16" s="510"/>
      <c r="F16" s="110" t="s">
        <v>27</v>
      </c>
      <c r="G16" s="511" t="s">
        <v>232</v>
      </c>
      <c r="H16" s="511"/>
      <c r="I16" s="511"/>
      <c r="J16" s="511"/>
      <c r="K16" s="511"/>
      <c r="L16" s="511"/>
      <c r="M16" s="511"/>
      <c r="N16" s="511"/>
      <c r="O16" s="511"/>
      <c r="P16" s="511"/>
      <c r="Q16" s="1"/>
      <c r="R16" s="1"/>
      <c r="S16" s="1"/>
      <c r="T16" s="1"/>
      <c r="U16" s="1"/>
      <c r="V16" s="1"/>
      <c r="W16" s="1"/>
      <c r="X16" s="1"/>
      <c r="Y16" s="1"/>
    </row>
    <row r="17" spans="1:25" ht="15.75">
      <c r="A17" s="78"/>
      <c r="B17" s="78"/>
      <c r="C17" s="78"/>
      <c r="D17" s="78"/>
      <c r="E17" s="512" t="s">
        <v>3</v>
      </c>
      <c r="F17" s="512"/>
      <c r="G17" s="512"/>
      <c r="H17" s="512"/>
      <c r="I17" s="512"/>
      <c r="J17" s="512"/>
      <c r="K17" s="512"/>
      <c r="L17" s="512"/>
      <c r="M17" s="512"/>
      <c r="N17" s="512"/>
      <c r="O17" s="512"/>
      <c r="P17" s="512"/>
      <c r="Q17" s="1"/>
      <c r="R17" s="1"/>
      <c r="S17" s="1"/>
      <c r="T17" s="1"/>
      <c r="U17" s="1"/>
      <c r="V17" s="1"/>
      <c r="W17" s="1"/>
      <c r="X17" s="1"/>
      <c r="Y17" s="1"/>
    </row>
    <row r="18" spans="1:25" ht="29.25" customHeight="1">
      <c r="A18" s="80"/>
      <c r="B18" s="80"/>
      <c r="C18" s="80"/>
      <c r="D18" s="14"/>
      <c r="E18" s="77"/>
      <c r="F18" s="15" t="s">
        <v>3</v>
      </c>
      <c r="G18" s="286"/>
      <c r="H18" s="286"/>
      <c r="I18" s="286"/>
      <c r="J18" s="286"/>
      <c r="K18" s="286"/>
      <c r="L18" s="286"/>
      <c r="M18" s="286"/>
      <c r="N18" s="286"/>
      <c r="O18" s="286"/>
      <c r="P18" s="15"/>
      <c r="Q18" s="25"/>
      <c r="R18" s="25"/>
      <c r="S18" s="25"/>
    </row>
    <row r="19" spans="1:25" ht="22.5" customHeight="1">
      <c r="A19" s="513" t="s">
        <v>4</v>
      </c>
      <c r="B19" s="513"/>
      <c r="C19" s="513" t="s">
        <v>5</v>
      </c>
      <c r="D19" s="514" t="s">
        <v>64</v>
      </c>
      <c r="E19" s="514" t="s">
        <v>39</v>
      </c>
      <c r="F19" s="515" t="s">
        <v>65</v>
      </c>
      <c r="G19" s="516"/>
      <c r="H19" s="516"/>
      <c r="I19" s="516"/>
      <c r="J19" s="516"/>
      <c r="K19" s="516"/>
      <c r="L19" s="516"/>
      <c r="M19" s="516"/>
      <c r="N19" s="516"/>
      <c r="O19" s="517"/>
      <c r="P19" s="514" t="s">
        <v>66</v>
      </c>
      <c r="Q19" s="26"/>
      <c r="R19" s="27"/>
      <c r="S19" s="27"/>
    </row>
    <row r="20" spans="1:25" ht="43.5" customHeight="1">
      <c r="A20" s="513"/>
      <c r="B20" s="513"/>
      <c r="C20" s="513"/>
      <c r="D20" s="514"/>
      <c r="E20" s="514"/>
      <c r="F20" s="514" t="s">
        <v>67</v>
      </c>
      <c r="G20" s="513" t="s">
        <v>71</v>
      </c>
      <c r="H20" s="513" t="s">
        <v>72</v>
      </c>
      <c r="I20" s="513" t="s">
        <v>73</v>
      </c>
      <c r="J20" s="513" t="s">
        <v>74</v>
      </c>
      <c r="K20" s="513" t="s">
        <v>84</v>
      </c>
      <c r="L20" s="523" t="s">
        <v>85</v>
      </c>
      <c r="M20" s="523" t="s">
        <v>360</v>
      </c>
      <c r="N20" s="523" t="s">
        <v>361</v>
      </c>
      <c r="O20" s="513" t="s">
        <v>362</v>
      </c>
      <c r="P20" s="514"/>
      <c r="Q20" s="26"/>
    </row>
    <row r="21" spans="1:25" ht="24" customHeight="1">
      <c r="A21" s="285" t="s">
        <v>9</v>
      </c>
      <c r="B21" s="285" t="s">
        <v>10</v>
      </c>
      <c r="C21" s="513"/>
      <c r="D21" s="514"/>
      <c r="E21" s="514"/>
      <c r="F21" s="514"/>
      <c r="G21" s="513"/>
      <c r="H21" s="513"/>
      <c r="I21" s="513"/>
      <c r="J21" s="513"/>
      <c r="K21" s="513"/>
      <c r="L21" s="524"/>
      <c r="M21" s="524"/>
      <c r="N21" s="524"/>
      <c r="O21" s="513"/>
      <c r="P21" s="514"/>
      <c r="Q21" s="26"/>
    </row>
    <row r="22" spans="1:25" ht="24" customHeight="1">
      <c r="A22" s="20" t="s">
        <v>83</v>
      </c>
      <c r="B22" s="19"/>
      <c r="C22" s="285"/>
      <c r="D22" s="518" t="s">
        <v>140</v>
      </c>
      <c r="E22" s="519"/>
      <c r="F22" s="519"/>
      <c r="G22" s="519"/>
      <c r="H22" s="519"/>
      <c r="I22" s="519"/>
      <c r="J22" s="519"/>
      <c r="K22" s="519"/>
      <c r="L22" s="519"/>
      <c r="M22" s="519"/>
      <c r="N22" s="519"/>
      <c r="O22" s="519"/>
      <c r="P22" s="520"/>
      <c r="Q22" s="26"/>
    </row>
    <row r="23" spans="1:25" ht="15.75" customHeight="1">
      <c r="A23" s="54"/>
      <c r="P23" s="267" t="s">
        <v>443</v>
      </c>
      <c r="Q23" s="26"/>
    </row>
    <row r="24" spans="1:25">
      <c r="A24" s="53"/>
      <c r="B24" s="508" t="s">
        <v>202</v>
      </c>
      <c r="C24" s="508"/>
      <c r="D24" s="508"/>
      <c r="E24" s="508"/>
      <c r="F24" s="508"/>
      <c r="G24" s="508"/>
      <c r="H24" s="508"/>
      <c r="I24" s="508"/>
      <c r="J24" s="508"/>
      <c r="K24" s="508"/>
      <c r="L24" s="508"/>
      <c r="M24" s="508"/>
      <c r="N24" s="508"/>
      <c r="O24" s="508"/>
      <c r="P24" s="508"/>
    </row>
    <row r="28" spans="1:25">
      <c r="E28" s="162"/>
    </row>
  </sheetData>
  <mergeCells count="25">
    <mergeCell ref="A12:P12"/>
    <mergeCell ref="E14:P14"/>
    <mergeCell ref="F15:P15"/>
    <mergeCell ref="L20:L21"/>
    <mergeCell ref="M20:M21"/>
    <mergeCell ref="N20:N21"/>
    <mergeCell ref="F20:F21"/>
    <mergeCell ref="H20:H21"/>
    <mergeCell ref="I20:I21"/>
    <mergeCell ref="B24:P24"/>
    <mergeCell ref="A14:D14"/>
    <mergeCell ref="A16:E16"/>
    <mergeCell ref="G16:P16"/>
    <mergeCell ref="E17:P17"/>
    <mergeCell ref="A19:B20"/>
    <mergeCell ref="C19:C21"/>
    <mergeCell ref="D19:D21"/>
    <mergeCell ref="E19:E21"/>
    <mergeCell ref="F19:O19"/>
    <mergeCell ref="J20:J21"/>
    <mergeCell ref="K20:K21"/>
    <mergeCell ref="O20:O21"/>
    <mergeCell ref="G20:G21"/>
    <mergeCell ref="D22:P22"/>
    <mergeCell ref="P19:P21"/>
  </mergeCells>
  <pageMargins left="0.70866141732283472" right="0.19685039370078741" top="0.51181102362204722" bottom="0.31496062992125984" header="0.31496062992125984" footer="0.31496062992125984"/>
  <pageSetup paperSize="9" scale="60" fitToHeight="3" orientation="landscape" r:id="rId1"/>
  <headerFooter differentFirst="1">
    <oddHeader>&amp;C&amp;P</oddHeader>
  </headerFooter>
</worksheet>
</file>

<file path=xl/worksheets/sheet4.xml><?xml version="1.0" encoding="utf-8"?>
<worksheet xmlns="http://schemas.openxmlformats.org/spreadsheetml/2006/main" xmlns:r="http://schemas.openxmlformats.org/officeDocument/2006/relationships">
  <sheetPr>
    <tabColor theme="6" tint="0.39997558519241921"/>
  </sheetPr>
  <dimension ref="A1:AE29"/>
  <sheetViews>
    <sheetView view="pageBreakPreview" zoomScale="70" zoomScaleNormal="100" zoomScaleSheetLayoutView="70" zoomScalePageLayoutView="90" workbookViewId="0">
      <selection activeCell="Y2" sqref="Y2"/>
    </sheetView>
  </sheetViews>
  <sheetFormatPr defaultRowHeight="15"/>
  <cols>
    <col min="1" max="1" width="5.140625" style="2" customWidth="1"/>
    <col min="2" max="2" width="6.28515625" style="2" customWidth="1"/>
    <col min="3" max="3" width="5.5703125" style="2" customWidth="1"/>
    <col min="4" max="4" width="6.42578125" customWidth="1"/>
    <col min="5" max="5" width="25.140625" style="58" customWidth="1"/>
    <col min="6" max="6" width="29" customWidth="1"/>
    <col min="7" max="7" width="14.85546875" customWidth="1"/>
    <col min="8" max="9" width="9.42578125" hidden="1" customWidth="1"/>
    <col min="10" max="12" width="10.42578125" customWidth="1"/>
    <col min="13" max="13" width="10.28515625" customWidth="1"/>
    <col min="14" max="18" width="10.42578125" customWidth="1"/>
    <col min="19" max="20" width="10" hidden="1" customWidth="1"/>
    <col min="21" max="25" width="10" bestFit="1" customWidth="1"/>
    <col min="26" max="28" width="10" customWidth="1"/>
    <col min="29" max="29" width="10" bestFit="1" customWidth="1"/>
    <col min="30" max="30" width="58.5703125" customWidth="1"/>
  </cols>
  <sheetData>
    <row r="1" spans="1:29" ht="18.75">
      <c r="Y1" s="283" t="s">
        <v>42</v>
      </c>
    </row>
    <row r="2" spans="1:29" ht="18.75">
      <c r="Y2" s="283" t="s">
        <v>431</v>
      </c>
    </row>
    <row r="3" spans="1:29" ht="18.75">
      <c r="Y3" s="297" t="s">
        <v>432</v>
      </c>
    </row>
    <row r="4" spans="1:29" ht="18.75">
      <c r="Y4" s="297" t="s">
        <v>433</v>
      </c>
    </row>
    <row r="6" spans="1:29" ht="24.75" customHeight="1">
      <c r="A6" s="111"/>
      <c r="B6" s="111"/>
      <c r="C6" s="111"/>
      <c r="D6" s="112"/>
      <c r="E6" s="113"/>
      <c r="F6" s="112"/>
      <c r="G6" s="112"/>
      <c r="H6" s="112"/>
      <c r="I6" s="112"/>
      <c r="J6" s="117"/>
      <c r="K6" s="117"/>
      <c r="L6" s="117"/>
      <c r="M6" s="117"/>
      <c r="N6" s="117"/>
      <c r="O6" s="117"/>
      <c r="P6" s="117"/>
      <c r="Q6" s="117"/>
      <c r="R6" s="117"/>
      <c r="S6" s="117"/>
      <c r="T6" s="117"/>
      <c r="V6" s="223"/>
      <c r="W6" s="223"/>
      <c r="Y6" s="223" t="s">
        <v>449</v>
      </c>
      <c r="Z6" s="223"/>
      <c r="AA6" s="223"/>
      <c r="AB6" s="223"/>
      <c r="AC6" s="223"/>
    </row>
    <row r="7" spans="1:29" ht="13.5" customHeight="1">
      <c r="A7" s="111"/>
      <c r="B7" s="111"/>
      <c r="C7" s="111"/>
      <c r="D7" s="112"/>
      <c r="E7" s="113"/>
      <c r="F7" s="112"/>
      <c r="G7" s="112"/>
      <c r="H7" s="112"/>
      <c r="I7" s="112"/>
      <c r="J7" s="127"/>
      <c r="K7" s="127"/>
      <c r="L7" s="127"/>
      <c r="M7" s="127"/>
      <c r="N7" s="127"/>
      <c r="O7" s="127"/>
      <c r="P7" s="127"/>
      <c r="Q7" s="127"/>
      <c r="R7" s="127"/>
      <c r="S7" s="127"/>
      <c r="T7" s="127"/>
      <c r="V7" s="159"/>
      <c r="W7" s="159"/>
      <c r="X7" s="159"/>
      <c r="Y7" s="223" t="s">
        <v>179</v>
      </c>
      <c r="Z7" s="159"/>
      <c r="AA7" s="159"/>
      <c r="AB7" s="159"/>
      <c r="AC7" s="159"/>
    </row>
    <row r="8" spans="1:29" s="173" customFormat="1" ht="16.5" customHeight="1">
      <c r="A8" s="169"/>
      <c r="B8" s="169"/>
      <c r="C8" s="169"/>
      <c r="D8" s="170"/>
      <c r="E8" s="294"/>
      <c r="F8" s="170"/>
      <c r="G8" s="170"/>
      <c r="H8" s="170"/>
      <c r="I8" s="170"/>
      <c r="J8" s="171"/>
      <c r="K8" s="171"/>
      <c r="L8" s="171"/>
      <c r="M8" s="171"/>
      <c r="N8" s="171"/>
      <c r="O8" s="171"/>
      <c r="P8" s="171"/>
      <c r="Q8" s="171"/>
      <c r="R8" s="171"/>
      <c r="S8" s="171"/>
      <c r="T8" s="171"/>
      <c r="V8" s="223"/>
      <c r="W8" s="172"/>
      <c r="X8" s="172"/>
      <c r="Y8" s="223" t="s">
        <v>184</v>
      </c>
      <c r="Z8" s="172"/>
      <c r="AA8" s="172"/>
      <c r="AB8" s="172"/>
      <c r="AC8" s="172"/>
    </row>
    <row r="9" spans="1:29" ht="15" customHeight="1">
      <c r="A9" s="111"/>
      <c r="B9" s="111"/>
      <c r="C9" s="111"/>
      <c r="D9" s="112"/>
      <c r="E9" s="59"/>
      <c r="F9" s="114"/>
      <c r="G9" s="114"/>
      <c r="H9" s="114"/>
      <c r="I9" s="114"/>
      <c r="J9" s="114"/>
      <c r="K9" s="114"/>
      <c r="L9" s="114"/>
      <c r="M9" s="114"/>
      <c r="N9" s="114"/>
      <c r="O9" s="114"/>
      <c r="P9" s="114"/>
      <c r="Q9" s="114"/>
      <c r="R9" s="114"/>
      <c r="S9" s="112"/>
      <c r="T9" s="112"/>
      <c r="U9" s="115"/>
      <c r="V9" s="112"/>
      <c r="W9" s="112"/>
      <c r="X9" s="112"/>
      <c r="Y9" s="112"/>
      <c r="Z9" s="112"/>
      <c r="AA9" s="112"/>
      <c r="AB9" s="112"/>
      <c r="AC9" s="112"/>
    </row>
    <row r="10" spans="1:29" ht="18.75" hidden="1">
      <c r="A10" s="111"/>
      <c r="B10" s="111"/>
      <c r="C10" s="111"/>
      <c r="D10" s="112"/>
      <c r="E10" s="59"/>
      <c r="F10" s="114"/>
      <c r="G10" s="114"/>
      <c r="H10" s="114"/>
      <c r="I10" s="114"/>
      <c r="J10" s="114"/>
      <c r="K10" s="114"/>
      <c r="L10" s="114"/>
      <c r="M10" s="114"/>
      <c r="N10" s="114"/>
      <c r="O10" s="114"/>
      <c r="P10" s="114"/>
      <c r="Q10" s="114"/>
      <c r="R10" s="114"/>
      <c r="S10" s="112"/>
      <c r="T10" s="112"/>
      <c r="U10" s="115"/>
      <c r="V10" s="112"/>
      <c r="W10" s="112"/>
      <c r="X10" s="112"/>
      <c r="Y10" s="112"/>
      <c r="Z10" s="112"/>
      <c r="AA10" s="112"/>
      <c r="AB10" s="112"/>
      <c r="AC10" s="112"/>
    </row>
    <row r="11" spans="1:29" ht="39" customHeight="1">
      <c r="A11" s="111"/>
      <c r="B11" s="111"/>
      <c r="C11" s="111"/>
      <c r="D11" s="112"/>
      <c r="E11" s="59"/>
      <c r="F11" s="114"/>
      <c r="G11" s="114"/>
      <c r="H11" s="114"/>
      <c r="I11" s="114"/>
      <c r="J11" s="114"/>
      <c r="K11" s="114"/>
      <c r="L11" s="114"/>
      <c r="M11" s="114"/>
      <c r="N11" s="114" t="s">
        <v>451</v>
      </c>
      <c r="O11" s="114"/>
      <c r="P11" s="114"/>
      <c r="Q11" s="114"/>
      <c r="R11" s="114"/>
      <c r="S11" s="112"/>
      <c r="T11" s="112"/>
      <c r="U11" s="115"/>
      <c r="V11" s="112"/>
      <c r="W11" s="112"/>
      <c r="X11" s="112"/>
      <c r="Y11" s="112"/>
      <c r="Z11" s="112"/>
      <c r="AA11" s="112"/>
      <c r="AB11" s="112"/>
      <c r="AC11" s="112"/>
    </row>
    <row r="12" spans="1:29" ht="37.5" customHeight="1">
      <c r="A12" s="532" t="s">
        <v>450</v>
      </c>
      <c r="B12" s="532"/>
      <c r="C12" s="532"/>
      <c r="D12" s="532"/>
      <c r="E12" s="532"/>
      <c r="F12" s="532"/>
      <c r="G12" s="532"/>
      <c r="H12" s="532"/>
      <c r="I12" s="532"/>
      <c r="J12" s="532"/>
      <c r="K12" s="532"/>
      <c r="L12" s="532"/>
      <c r="M12" s="532"/>
      <c r="N12" s="532"/>
      <c r="O12" s="532"/>
      <c r="P12" s="532"/>
      <c r="Q12" s="532"/>
      <c r="R12" s="532"/>
      <c r="S12" s="532"/>
      <c r="T12" s="532"/>
      <c r="U12" s="532"/>
      <c r="V12" s="532"/>
      <c r="W12" s="532"/>
      <c r="X12" s="532"/>
      <c r="Y12" s="532"/>
      <c r="Z12" s="532"/>
      <c r="AA12" s="532"/>
      <c r="AB12" s="532"/>
      <c r="AC12" s="532"/>
    </row>
    <row r="13" spans="1:29" ht="18.75">
      <c r="A13" s="111"/>
      <c r="B13" s="111"/>
      <c r="C13" s="111"/>
      <c r="D13" s="112"/>
      <c r="E13" s="59"/>
      <c r="F13" s="83"/>
      <c r="G13" s="83"/>
      <c r="H13" s="83"/>
      <c r="I13" s="83"/>
      <c r="J13" s="83"/>
      <c r="K13" s="83"/>
      <c r="L13" s="83"/>
      <c r="M13" s="83"/>
      <c r="N13" s="83"/>
      <c r="O13" s="83"/>
      <c r="P13" s="83"/>
      <c r="Q13" s="83"/>
      <c r="R13" s="83"/>
      <c r="S13" s="83"/>
      <c r="T13" s="83"/>
      <c r="U13" s="83"/>
      <c r="V13" s="82"/>
      <c r="W13" s="82"/>
      <c r="X13" s="82"/>
      <c r="Y13" s="82"/>
      <c r="Z13" s="82"/>
      <c r="AA13" s="82"/>
      <c r="AB13" s="82"/>
      <c r="AC13" s="82"/>
    </row>
    <row r="14" spans="1:29" ht="19.5">
      <c r="A14" s="116" t="s">
        <v>0</v>
      </c>
      <c r="B14" s="116"/>
      <c r="C14" s="116"/>
      <c r="D14" s="117"/>
      <c r="E14" s="118"/>
      <c r="F14" s="534" t="s">
        <v>113</v>
      </c>
      <c r="G14" s="534"/>
      <c r="H14" s="534"/>
      <c r="I14" s="534"/>
      <c r="J14" s="534"/>
      <c r="K14" s="534"/>
      <c r="L14" s="534"/>
      <c r="M14" s="534"/>
      <c r="N14" s="534"/>
      <c r="O14" s="534"/>
      <c r="P14" s="534"/>
      <c r="Q14" s="534"/>
      <c r="R14" s="534"/>
      <c r="S14" s="534"/>
      <c r="T14" s="534"/>
      <c r="U14" s="534"/>
      <c r="V14" s="534"/>
      <c r="W14" s="534"/>
      <c r="X14" s="534"/>
      <c r="Y14" s="534"/>
      <c r="Z14" s="534"/>
      <c r="AA14" s="534"/>
      <c r="AB14" s="534"/>
      <c r="AC14" s="534"/>
    </row>
    <row r="15" spans="1:29" ht="18.75">
      <c r="A15" s="111"/>
      <c r="B15" s="111"/>
      <c r="C15" s="111"/>
      <c r="D15" s="112"/>
      <c r="E15" s="294"/>
      <c r="F15" s="531" t="s">
        <v>1</v>
      </c>
      <c r="G15" s="531"/>
      <c r="H15" s="531"/>
      <c r="I15" s="531"/>
      <c r="J15" s="531"/>
      <c r="K15" s="531"/>
      <c r="L15" s="531"/>
      <c r="M15" s="531"/>
      <c r="N15" s="531"/>
      <c r="O15" s="531"/>
      <c r="P15" s="531"/>
      <c r="Q15" s="531"/>
      <c r="R15" s="531"/>
      <c r="S15" s="531"/>
      <c r="T15" s="531"/>
      <c r="U15" s="531"/>
      <c r="V15" s="531"/>
      <c r="W15" s="531"/>
      <c r="X15" s="531"/>
      <c r="Y15" s="531"/>
      <c r="Z15" s="531"/>
      <c r="AA15" s="531"/>
      <c r="AB15" s="531"/>
      <c r="AC15" s="531"/>
    </row>
    <row r="16" spans="1:29" ht="19.5">
      <c r="A16" s="533" t="s">
        <v>20</v>
      </c>
      <c r="B16" s="533"/>
      <c r="C16" s="533"/>
      <c r="D16" s="533"/>
      <c r="E16" s="533"/>
      <c r="F16" s="511" t="s">
        <v>234</v>
      </c>
      <c r="G16" s="511"/>
      <c r="H16" s="511"/>
      <c r="I16" s="511"/>
      <c r="J16" s="511"/>
      <c r="K16" s="511"/>
      <c r="L16" s="511"/>
      <c r="M16" s="511"/>
      <c r="N16" s="511"/>
      <c r="O16" s="511"/>
      <c r="P16" s="511"/>
      <c r="Q16" s="511"/>
      <c r="R16" s="511"/>
      <c r="S16" s="511"/>
      <c r="T16" s="511"/>
      <c r="U16" s="511"/>
      <c r="V16" s="511"/>
      <c r="W16" s="511"/>
      <c r="X16" s="511"/>
      <c r="Y16" s="511"/>
      <c r="Z16" s="511"/>
      <c r="AA16" s="511"/>
      <c r="AB16" s="511"/>
      <c r="AC16" s="511"/>
    </row>
    <row r="17" spans="1:31" ht="15.75">
      <c r="A17" s="81"/>
      <c r="B17" s="81"/>
      <c r="C17" s="81"/>
      <c r="D17" s="82"/>
      <c r="E17" s="84"/>
      <c r="F17" s="531" t="s">
        <v>3</v>
      </c>
      <c r="G17" s="531"/>
      <c r="H17" s="531"/>
      <c r="I17" s="531"/>
      <c r="J17" s="531"/>
      <c r="K17" s="531"/>
      <c r="L17" s="531"/>
      <c r="M17" s="531"/>
      <c r="N17" s="531"/>
      <c r="O17" s="531"/>
      <c r="P17" s="531"/>
      <c r="Q17" s="531"/>
      <c r="R17" s="531"/>
      <c r="S17" s="531"/>
      <c r="T17" s="531"/>
      <c r="U17" s="531"/>
      <c r="V17" s="531"/>
      <c r="W17" s="531"/>
      <c r="X17" s="531"/>
      <c r="Y17" s="531"/>
      <c r="Z17" s="531"/>
      <c r="AA17" s="531"/>
      <c r="AB17" s="531"/>
      <c r="AC17" s="531"/>
    </row>
    <row r="18" spans="1:31" ht="22.5" customHeight="1">
      <c r="A18" s="81"/>
      <c r="B18" s="81"/>
      <c r="C18" s="81"/>
      <c r="D18" s="82"/>
      <c r="E18" s="85"/>
      <c r="F18" s="40"/>
      <c r="G18" s="40"/>
      <c r="H18" s="40"/>
      <c r="I18" s="40"/>
      <c r="J18" s="40"/>
      <c r="K18" s="40"/>
      <c r="L18" s="40"/>
      <c r="M18" s="40"/>
      <c r="N18" s="40"/>
      <c r="O18" s="40"/>
      <c r="P18" s="40"/>
      <c r="Q18" s="40"/>
      <c r="R18" s="40"/>
      <c r="S18" s="40"/>
      <c r="T18" s="40"/>
      <c r="U18" s="40"/>
      <c r="V18" s="82"/>
      <c r="W18" s="82"/>
      <c r="X18" s="82"/>
      <c r="Y18" s="82"/>
      <c r="Z18" s="82"/>
      <c r="AA18" s="82"/>
      <c r="AB18" s="82"/>
      <c r="AC18" s="82"/>
    </row>
    <row r="19" spans="1:31" ht="51.75" customHeight="1">
      <c r="A19" s="529" t="s">
        <v>4</v>
      </c>
      <c r="B19" s="529"/>
      <c r="C19" s="529"/>
      <c r="D19" s="529"/>
      <c r="E19" s="530" t="s">
        <v>33</v>
      </c>
      <c r="F19" s="529" t="s">
        <v>34</v>
      </c>
      <c r="G19" s="529" t="s">
        <v>35</v>
      </c>
      <c r="H19" s="529" t="s">
        <v>36</v>
      </c>
      <c r="I19" s="529"/>
      <c r="J19" s="529"/>
      <c r="K19" s="529"/>
      <c r="L19" s="529"/>
      <c r="M19" s="529"/>
      <c r="N19" s="529"/>
      <c r="O19" s="529"/>
      <c r="P19" s="529"/>
      <c r="Q19" s="529"/>
      <c r="R19" s="529"/>
      <c r="S19" s="529" t="s">
        <v>37</v>
      </c>
      <c r="T19" s="529"/>
      <c r="U19" s="529"/>
      <c r="V19" s="529"/>
      <c r="W19" s="529"/>
      <c r="X19" s="529"/>
      <c r="Y19" s="529"/>
      <c r="Z19" s="529"/>
      <c r="AA19" s="529"/>
      <c r="AB19" s="529"/>
      <c r="AC19" s="529"/>
    </row>
    <row r="20" spans="1:31" ht="54.75" customHeight="1">
      <c r="A20" s="86" t="s">
        <v>9</v>
      </c>
      <c r="B20" s="86" t="s">
        <v>10</v>
      </c>
      <c r="C20" s="86" t="s">
        <v>25</v>
      </c>
      <c r="D20" s="87" t="s">
        <v>26</v>
      </c>
      <c r="E20" s="530" t="s">
        <v>38</v>
      </c>
      <c r="F20" s="529" t="s">
        <v>39</v>
      </c>
      <c r="G20" s="529"/>
      <c r="H20" s="88" t="s">
        <v>40</v>
      </c>
      <c r="I20" s="88" t="s">
        <v>41</v>
      </c>
      <c r="J20" s="88" t="s">
        <v>71</v>
      </c>
      <c r="K20" s="88" t="s">
        <v>72</v>
      </c>
      <c r="L20" s="88" t="s">
        <v>73</v>
      </c>
      <c r="M20" s="88" t="s">
        <v>74</v>
      </c>
      <c r="N20" s="88" t="s">
        <v>84</v>
      </c>
      <c r="O20" s="88" t="s">
        <v>85</v>
      </c>
      <c r="P20" s="88" t="s">
        <v>360</v>
      </c>
      <c r="Q20" s="88" t="s">
        <v>361</v>
      </c>
      <c r="R20" s="88" t="s">
        <v>362</v>
      </c>
      <c r="S20" s="88" t="s">
        <v>40</v>
      </c>
      <c r="T20" s="88" t="s">
        <v>41</v>
      </c>
      <c r="U20" s="88" t="s">
        <v>71</v>
      </c>
      <c r="V20" s="88" t="s">
        <v>72</v>
      </c>
      <c r="W20" s="88" t="s">
        <v>73</v>
      </c>
      <c r="X20" s="88" t="s">
        <v>74</v>
      </c>
      <c r="Y20" s="88" t="s">
        <v>84</v>
      </c>
      <c r="Z20" s="88" t="s">
        <v>85</v>
      </c>
      <c r="AA20" s="88" t="s">
        <v>360</v>
      </c>
      <c r="AB20" s="88" t="s">
        <v>361</v>
      </c>
      <c r="AC20" s="88" t="s">
        <v>362</v>
      </c>
    </row>
    <row r="21" spans="1:31" ht="54.75" customHeight="1">
      <c r="A21" s="86" t="s">
        <v>83</v>
      </c>
      <c r="B21" s="86"/>
      <c r="C21" s="89"/>
      <c r="D21" s="87"/>
      <c r="E21" s="525" t="s">
        <v>114</v>
      </c>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7"/>
      <c r="AD21" s="71"/>
      <c r="AE21" s="72"/>
    </row>
    <row r="22" spans="1:31" ht="21.75" customHeight="1">
      <c r="A22" s="268"/>
      <c r="B22" s="268"/>
      <c r="C22" s="269"/>
      <c r="D22" s="270"/>
      <c r="E22" s="271"/>
      <c r="F22" s="271"/>
      <c r="G22" s="271"/>
      <c r="H22" s="271"/>
      <c r="I22" s="271"/>
      <c r="J22" s="271"/>
      <c r="K22" s="271"/>
      <c r="L22" s="271"/>
      <c r="M22" s="271"/>
      <c r="N22" s="271"/>
      <c r="O22" s="271"/>
      <c r="P22" s="271"/>
      <c r="Q22" s="271"/>
      <c r="R22" s="271"/>
      <c r="S22" s="271"/>
      <c r="T22" s="271"/>
      <c r="U22" s="271"/>
      <c r="V22" s="197"/>
      <c r="W22" s="197"/>
      <c r="X22" s="197"/>
      <c r="Y22" s="197"/>
      <c r="Z22" s="197"/>
      <c r="AA22" s="197"/>
      <c r="AB22" s="197"/>
      <c r="AC22" s="278" t="s">
        <v>441</v>
      </c>
      <c r="AD22" s="272"/>
      <c r="AE22" s="72"/>
    </row>
    <row r="23" spans="1:31">
      <c r="A23" s="528" t="s">
        <v>201</v>
      </c>
      <c r="B23" s="528"/>
      <c r="C23" s="528"/>
      <c r="D23" s="528"/>
      <c r="E23" s="528"/>
      <c r="F23" s="528"/>
      <c r="G23" s="528"/>
      <c r="H23" s="528"/>
      <c r="I23" s="528"/>
      <c r="J23" s="528"/>
      <c r="K23" s="528"/>
      <c r="L23" s="528"/>
      <c r="M23" s="528"/>
      <c r="N23" s="528"/>
      <c r="O23" s="528"/>
      <c r="P23" s="528"/>
      <c r="Q23" s="528"/>
      <c r="R23" s="528"/>
      <c r="S23" s="528"/>
      <c r="T23" s="528"/>
      <c r="U23" s="528"/>
    </row>
    <row r="24" spans="1:31">
      <c r="A24" s="12"/>
      <c r="B24" s="12"/>
      <c r="C24" s="12"/>
      <c r="D24" s="13"/>
      <c r="E24" s="76"/>
      <c r="S24" s="29"/>
      <c r="T24" s="29"/>
      <c r="U24" s="29"/>
    </row>
    <row r="29" spans="1:31" ht="15.75">
      <c r="F29" s="40"/>
    </row>
  </sheetData>
  <mergeCells count="14">
    <mergeCell ref="F16:AC16"/>
    <mergeCell ref="F17:AC17"/>
    <mergeCell ref="A12:AC12"/>
    <mergeCell ref="A16:E16"/>
    <mergeCell ref="F14:AC14"/>
    <mergeCell ref="F15:AC15"/>
    <mergeCell ref="E21:AC21"/>
    <mergeCell ref="A23:U23"/>
    <mergeCell ref="S19:AC19"/>
    <mergeCell ref="A19:D19"/>
    <mergeCell ref="E19:E20"/>
    <mergeCell ref="F19:F20"/>
    <mergeCell ref="G19:G20"/>
    <mergeCell ref="H19:R19"/>
  </mergeCells>
  <pageMargins left="0.19685039370078741" right="0.19685039370078741" top="0.42" bottom="0.19685039370078741" header="0.19685039370078741" footer="0.31496062992125984"/>
  <pageSetup paperSize="9" scale="52" fitToHeight="2" orientation="landscape" r:id="rId1"/>
  <headerFooter differentFirst="1">
    <oddHeader>&amp;C&amp;P</oddHeader>
  </headerFooter>
</worksheet>
</file>

<file path=xl/worksheets/sheet5.xml><?xml version="1.0" encoding="utf-8"?>
<worksheet xmlns="http://schemas.openxmlformats.org/spreadsheetml/2006/main" xmlns:r="http://schemas.openxmlformats.org/officeDocument/2006/relationships">
  <sheetPr>
    <tabColor theme="6" tint="0.39997558519241921"/>
  </sheetPr>
  <dimension ref="A1:X55"/>
  <sheetViews>
    <sheetView view="pageBreakPreview" topLeftCell="A48" zoomScale="80" zoomScaleNormal="80" zoomScaleSheetLayoutView="80" zoomScalePageLayoutView="80" workbookViewId="0">
      <selection activeCell="M18" sqref="M18"/>
    </sheetView>
  </sheetViews>
  <sheetFormatPr defaultColWidth="9.140625" defaultRowHeight="15.75"/>
  <cols>
    <col min="1" max="1" width="5.7109375" style="47" customWidth="1"/>
    <col min="2" max="2" width="6" style="47" customWidth="1"/>
    <col min="3" max="3" width="6.5703125" style="47" customWidth="1"/>
    <col min="4" max="4" width="5.85546875" style="44" customWidth="1"/>
    <col min="5" max="5" width="42.140625" style="69" customWidth="1"/>
    <col min="6" max="6" width="30.85546875" style="69" customWidth="1"/>
    <col min="7" max="7" width="8.42578125" style="47" customWidth="1"/>
    <col min="8" max="9" width="6.85546875" style="47" customWidth="1"/>
    <col min="10" max="10" width="16.7109375" style="46" customWidth="1"/>
    <col min="11" max="11" width="9.140625" style="47"/>
    <col min="12" max="12" width="13" style="136" customWidth="1"/>
    <col min="13" max="13" width="12.28515625" style="137" customWidth="1"/>
    <col min="14" max="14" width="11.85546875" style="47" customWidth="1"/>
    <col min="15" max="15" width="12.28515625" style="47" customWidth="1"/>
    <col min="16" max="16" width="12" style="47" customWidth="1"/>
    <col min="17" max="17" width="12.28515625" style="47" customWidth="1"/>
    <col min="18" max="18" width="12" style="47" customWidth="1"/>
    <col min="19" max="21" width="9.140625" style="47"/>
    <col min="22" max="22" width="10.85546875" style="47" bestFit="1" customWidth="1"/>
    <col min="23" max="16384" width="9.140625" style="47"/>
  </cols>
  <sheetData>
    <row r="1" spans="1:20" ht="18.75">
      <c r="P1" s="426" t="s">
        <v>63</v>
      </c>
    </row>
    <row r="2" spans="1:20" ht="18.75">
      <c r="P2" s="426" t="s">
        <v>431</v>
      </c>
    </row>
    <row r="3" spans="1:20" ht="18.75">
      <c r="P3" s="280" t="s">
        <v>432</v>
      </c>
    </row>
    <row r="4" spans="1:20" ht="18.75">
      <c r="P4" s="280" t="s">
        <v>617</v>
      </c>
    </row>
    <row r="5" spans="1:20" ht="23.25" customHeight="1"/>
    <row r="6" spans="1:20" ht="18.75">
      <c r="A6" s="119"/>
      <c r="B6" s="119"/>
      <c r="C6" s="119"/>
      <c r="D6" s="120"/>
      <c r="E6" s="293"/>
      <c r="F6" s="293"/>
      <c r="G6" s="113"/>
      <c r="H6" s="113"/>
      <c r="I6" s="113"/>
      <c r="J6" s="119"/>
      <c r="K6" s="113"/>
      <c r="L6" s="134"/>
      <c r="M6" s="565" t="s">
        <v>452</v>
      </c>
      <c r="N6" s="565"/>
      <c r="O6" s="565"/>
      <c r="P6" s="565"/>
      <c r="Q6" s="565"/>
      <c r="R6" s="565"/>
      <c r="S6" s="565"/>
      <c r="T6" s="565"/>
    </row>
    <row r="7" spans="1:20" ht="34.5" customHeight="1">
      <c r="A7" s="119"/>
      <c r="B7" s="119"/>
      <c r="C7" s="119"/>
      <c r="D7" s="120"/>
      <c r="E7" s="293"/>
      <c r="F7" s="293"/>
      <c r="G7" s="113"/>
      <c r="H7" s="113"/>
      <c r="I7" s="113"/>
      <c r="J7" s="119"/>
      <c r="K7" s="113"/>
      <c r="L7" s="134"/>
      <c r="M7" s="566" t="s">
        <v>106</v>
      </c>
      <c r="N7" s="566"/>
      <c r="O7" s="566"/>
      <c r="P7" s="566"/>
      <c r="Q7" s="566"/>
      <c r="R7" s="566"/>
      <c r="S7" s="566"/>
      <c r="T7" s="566"/>
    </row>
    <row r="8" spans="1:20" ht="18.75">
      <c r="A8" s="119"/>
      <c r="B8" s="119"/>
      <c r="C8" s="119"/>
      <c r="D8" s="120"/>
      <c r="E8" s="288"/>
      <c r="F8" s="288"/>
      <c r="G8" s="289"/>
      <c r="H8" s="289"/>
      <c r="I8" s="289"/>
      <c r="J8" s="121"/>
      <c r="K8" s="113"/>
      <c r="L8" s="134"/>
      <c r="M8" s="135"/>
      <c r="N8" s="113"/>
      <c r="O8" s="113"/>
      <c r="P8" s="113"/>
      <c r="Q8" s="113"/>
    </row>
    <row r="9" spans="1:20" ht="18.75">
      <c r="A9" s="119"/>
      <c r="B9" s="119"/>
      <c r="C9" s="119"/>
      <c r="D9" s="120"/>
      <c r="E9" s="288"/>
      <c r="F9" s="288"/>
      <c r="G9" s="289"/>
      <c r="H9" s="289"/>
      <c r="I9" s="289"/>
      <c r="J9" s="121"/>
      <c r="K9" s="113"/>
      <c r="L9" s="134"/>
      <c r="M9" s="135"/>
      <c r="N9" s="113"/>
      <c r="O9" s="113"/>
      <c r="P9" s="113"/>
      <c r="Q9" s="113"/>
    </row>
    <row r="10" spans="1:20" ht="24.75" customHeight="1">
      <c r="A10" s="567" t="s">
        <v>107</v>
      </c>
      <c r="B10" s="567"/>
      <c r="C10" s="567"/>
      <c r="D10" s="567"/>
      <c r="E10" s="567"/>
      <c r="F10" s="567"/>
      <c r="G10" s="567"/>
      <c r="H10" s="567"/>
      <c r="I10" s="567"/>
      <c r="J10" s="567"/>
      <c r="K10" s="567"/>
      <c r="L10" s="567"/>
      <c r="M10" s="567"/>
      <c r="N10" s="567"/>
      <c r="O10" s="567"/>
      <c r="P10" s="567"/>
      <c r="Q10" s="567"/>
      <c r="R10" s="567"/>
      <c r="S10" s="567"/>
      <c r="T10" s="567"/>
    </row>
    <row r="11" spans="1:20" ht="18.75">
      <c r="A11" s="124"/>
      <c r="B11" s="124"/>
      <c r="C11" s="124"/>
      <c r="D11" s="104"/>
      <c r="E11" s="288"/>
      <c r="F11" s="74"/>
      <c r="G11" s="92"/>
      <c r="H11" s="92"/>
      <c r="I11" s="92"/>
      <c r="J11" s="48"/>
      <c r="K11" s="92"/>
    </row>
    <row r="12" spans="1:20" ht="15.75" customHeight="1">
      <c r="A12" s="122" t="s">
        <v>0</v>
      </c>
      <c r="B12" s="122"/>
      <c r="C12" s="122"/>
      <c r="D12" s="123"/>
      <c r="E12" s="288"/>
      <c r="F12" s="534" t="s">
        <v>108</v>
      </c>
      <c r="G12" s="534"/>
      <c r="H12" s="534"/>
      <c r="I12" s="534"/>
      <c r="J12" s="534"/>
      <c r="K12" s="534"/>
      <c r="L12" s="534"/>
      <c r="M12" s="534"/>
      <c r="N12" s="534"/>
      <c r="O12" s="534"/>
      <c r="P12" s="534"/>
      <c r="Q12" s="534"/>
      <c r="R12" s="534"/>
      <c r="S12" s="534"/>
      <c r="T12" s="534"/>
    </row>
    <row r="13" spans="1:20" ht="15.75" customHeight="1">
      <c r="A13" s="124"/>
      <c r="B13" s="124"/>
      <c r="C13" s="124"/>
      <c r="D13" s="104"/>
      <c r="E13" s="288"/>
      <c r="F13" s="538" t="s">
        <v>1</v>
      </c>
      <c r="G13" s="538"/>
      <c r="H13" s="538"/>
      <c r="I13" s="538"/>
      <c r="J13" s="538"/>
      <c r="K13" s="538"/>
      <c r="L13" s="538"/>
      <c r="M13" s="538"/>
      <c r="N13" s="538"/>
      <c r="O13" s="538"/>
      <c r="P13" s="538"/>
      <c r="Q13" s="538"/>
      <c r="R13" s="538"/>
      <c r="S13" s="538"/>
      <c r="T13" s="538"/>
    </row>
    <row r="14" spans="1:20" ht="15.75" customHeight="1">
      <c r="A14" s="564" t="s">
        <v>20</v>
      </c>
      <c r="B14" s="564"/>
      <c r="C14" s="564"/>
      <c r="D14" s="564"/>
      <c r="E14" s="564"/>
      <c r="F14" s="534" t="s">
        <v>235</v>
      </c>
      <c r="G14" s="534"/>
      <c r="H14" s="534"/>
      <c r="I14" s="534"/>
      <c r="J14" s="534"/>
      <c r="K14" s="534"/>
      <c r="L14" s="534"/>
      <c r="M14" s="534"/>
      <c r="N14" s="534"/>
      <c r="O14" s="534"/>
      <c r="P14" s="534"/>
      <c r="Q14" s="534"/>
      <c r="R14" s="534"/>
      <c r="S14" s="534"/>
      <c r="T14" s="534"/>
    </row>
    <row r="15" spans="1:20" ht="15.75" customHeight="1">
      <c r="A15" s="46"/>
      <c r="B15" s="46"/>
      <c r="C15" s="46"/>
      <c r="E15" s="74"/>
      <c r="F15" s="538" t="s">
        <v>3</v>
      </c>
      <c r="G15" s="538"/>
      <c r="H15" s="538"/>
      <c r="I15" s="538"/>
      <c r="J15" s="538"/>
      <c r="K15" s="538"/>
      <c r="L15" s="538"/>
      <c r="M15" s="538"/>
      <c r="N15" s="538"/>
      <c r="O15" s="538"/>
      <c r="P15" s="538"/>
      <c r="Q15" s="538"/>
      <c r="R15" s="538"/>
      <c r="S15" s="538"/>
      <c r="T15" s="538"/>
    </row>
    <row r="16" spans="1:20">
      <c r="A16" s="46"/>
      <c r="B16" s="46"/>
      <c r="C16" s="46"/>
      <c r="E16" s="74"/>
      <c r="F16" s="74"/>
      <c r="G16" s="11"/>
      <c r="H16" s="11"/>
      <c r="I16" s="11"/>
      <c r="J16" s="45"/>
      <c r="K16" s="11"/>
    </row>
    <row r="17" spans="1:22" ht="48" customHeight="1">
      <c r="A17" s="544" t="s">
        <v>4</v>
      </c>
      <c r="B17" s="544"/>
      <c r="C17" s="544"/>
      <c r="D17" s="544"/>
      <c r="E17" s="545" t="s">
        <v>43</v>
      </c>
      <c r="F17" s="547" t="s">
        <v>68</v>
      </c>
      <c r="G17" s="549" t="s">
        <v>44</v>
      </c>
      <c r="H17" s="549"/>
      <c r="I17" s="549"/>
      <c r="J17" s="550"/>
      <c r="K17" s="550"/>
      <c r="L17" s="551" t="s">
        <v>146</v>
      </c>
      <c r="M17" s="551"/>
      <c r="N17" s="551"/>
      <c r="O17" s="551"/>
      <c r="P17" s="551"/>
      <c r="Q17" s="551"/>
      <c r="R17" s="551"/>
      <c r="S17" s="551"/>
      <c r="T17" s="551"/>
    </row>
    <row r="18" spans="1:22" ht="40.5" customHeight="1">
      <c r="A18" s="5" t="s">
        <v>9</v>
      </c>
      <c r="B18" s="5" t="s">
        <v>10</v>
      </c>
      <c r="C18" s="5" t="s">
        <v>25</v>
      </c>
      <c r="D18" s="28" t="s">
        <v>26</v>
      </c>
      <c r="E18" s="546"/>
      <c r="F18" s="548"/>
      <c r="G18" s="290" t="s">
        <v>45</v>
      </c>
      <c r="H18" s="290" t="s">
        <v>46</v>
      </c>
      <c r="I18" s="6" t="s">
        <v>47</v>
      </c>
      <c r="J18" s="6" t="s">
        <v>48</v>
      </c>
      <c r="K18" s="282" t="s">
        <v>49</v>
      </c>
      <c r="L18" s="230" t="s">
        <v>71</v>
      </c>
      <c r="M18" s="230" t="s">
        <v>72</v>
      </c>
      <c r="N18" s="230" t="s">
        <v>73</v>
      </c>
      <c r="O18" s="230" t="s">
        <v>74</v>
      </c>
      <c r="P18" s="230" t="s">
        <v>84</v>
      </c>
      <c r="Q18" s="230" t="s">
        <v>85</v>
      </c>
      <c r="R18" s="247" t="s">
        <v>360</v>
      </c>
      <c r="S18" s="247" t="s">
        <v>361</v>
      </c>
      <c r="T18" s="247" t="s">
        <v>362</v>
      </c>
    </row>
    <row r="19" spans="1:22" ht="20.25" customHeight="1">
      <c r="A19" s="555" t="s">
        <v>83</v>
      </c>
      <c r="B19" s="557"/>
      <c r="C19" s="557"/>
      <c r="D19" s="559"/>
      <c r="E19" s="539" t="s">
        <v>109</v>
      </c>
      <c r="F19" s="98" t="s">
        <v>50</v>
      </c>
      <c r="G19" s="94"/>
      <c r="H19" s="94"/>
      <c r="I19" s="95"/>
      <c r="J19" s="95"/>
      <c r="K19" s="94"/>
      <c r="L19" s="332">
        <v>88771.3</v>
      </c>
      <c r="M19" s="138">
        <f t="shared" ref="M19:T19" si="0">M23+M37+M46</f>
        <v>70526.42</v>
      </c>
      <c r="N19" s="335">
        <f>N20+N21+N22</f>
        <v>42404.5</v>
      </c>
      <c r="O19" s="138">
        <f>SUM(O20:O22)</f>
        <v>54108.544999999998</v>
      </c>
      <c r="P19" s="138">
        <f t="shared" si="0"/>
        <v>24576.3</v>
      </c>
      <c r="Q19" s="138">
        <f t="shared" si="0"/>
        <v>24433.582105263158</v>
      </c>
      <c r="R19" s="138">
        <f t="shared" si="0"/>
        <v>39785.428</v>
      </c>
      <c r="S19" s="138">
        <f t="shared" si="0"/>
        <v>25439.128000000001</v>
      </c>
      <c r="T19" s="138">
        <f t="shared" si="0"/>
        <v>25439.128000000001</v>
      </c>
    </row>
    <row r="20" spans="1:22" ht="46.5" customHeight="1">
      <c r="A20" s="556"/>
      <c r="B20" s="558"/>
      <c r="C20" s="558"/>
      <c r="D20" s="560"/>
      <c r="E20" s="540"/>
      <c r="F20" s="4" t="s">
        <v>232</v>
      </c>
      <c r="G20" s="7">
        <v>843</v>
      </c>
      <c r="H20" s="7"/>
      <c r="I20" s="9"/>
      <c r="J20" s="9"/>
      <c r="K20" s="7"/>
      <c r="L20" s="139">
        <f t="shared" ref="L20:T20" si="1">L24+L38+L48</f>
        <v>72883.3</v>
      </c>
      <c r="M20" s="139">
        <f t="shared" si="1"/>
        <v>48794.46</v>
      </c>
      <c r="N20" s="353">
        <f>N24+N38+N48</f>
        <v>41604.5</v>
      </c>
      <c r="O20" s="139">
        <f t="shared" si="1"/>
        <v>43506.195</v>
      </c>
      <c r="P20" s="139">
        <f t="shared" si="1"/>
        <v>24576.3</v>
      </c>
      <c r="Q20" s="139">
        <f t="shared" si="1"/>
        <v>24433.582105263158</v>
      </c>
      <c r="R20" s="139">
        <f t="shared" si="1"/>
        <v>39785.428</v>
      </c>
      <c r="S20" s="139">
        <f t="shared" si="1"/>
        <v>25439.128000000001</v>
      </c>
      <c r="T20" s="139">
        <f t="shared" si="1"/>
        <v>25439.128000000001</v>
      </c>
    </row>
    <row r="21" spans="1:22" ht="35.25" customHeight="1">
      <c r="A21" s="556"/>
      <c r="B21" s="558"/>
      <c r="C21" s="558"/>
      <c r="D21" s="560"/>
      <c r="E21" s="540"/>
      <c r="F21" s="4" t="s">
        <v>78</v>
      </c>
      <c r="G21" s="7">
        <v>874</v>
      </c>
      <c r="H21" s="7"/>
      <c r="I21" s="9"/>
      <c r="J21" s="9"/>
      <c r="K21" s="7"/>
      <c r="L21" s="331">
        <f>L25+L40</f>
        <v>15887.8</v>
      </c>
      <c r="M21" s="139">
        <f>M25+M39+M47</f>
        <v>12241.570000000002</v>
      </c>
      <c r="N21" s="353">
        <f>N25+N47</f>
        <v>800</v>
      </c>
      <c r="O21" s="139">
        <f t="shared" ref="O21:T21" si="2">O25+O39+O47</f>
        <v>10602.35</v>
      </c>
      <c r="P21" s="139">
        <f t="shared" si="2"/>
        <v>0</v>
      </c>
      <c r="Q21" s="139">
        <f t="shared" si="2"/>
        <v>0</v>
      </c>
      <c r="R21" s="139">
        <f t="shared" si="2"/>
        <v>0</v>
      </c>
      <c r="S21" s="139">
        <f t="shared" si="2"/>
        <v>0</v>
      </c>
      <c r="T21" s="139">
        <f t="shared" si="2"/>
        <v>0</v>
      </c>
    </row>
    <row r="22" spans="1:22" ht="43.5" customHeight="1">
      <c r="A22" s="556"/>
      <c r="B22" s="558"/>
      <c r="C22" s="558"/>
      <c r="D22" s="560"/>
      <c r="E22" s="540"/>
      <c r="F22" s="4" t="s">
        <v>208</v>
      </c>
      <c r="G22" s="7"/>
      <c r="H22" s="7"/>
      <c r="I22" s="9"/>
      <c r="J22" s="9"/>
      <c r="K22" s="7"/>
      <c r="L22" s="331">
        <f>L26</f>
        <v>0</v>
      </c>
      <c r="M22" s="139">
        <f>M26</f>
        <v>9490.39</v>
      </c>
      <c r="N22" s="353">
        <f>N26</f>
        <v>0</v>
      </c>
      <c r="O22" s="139">
        <f>O26</f>
        <v>0</v>
      </c>
      <c r="P22" s="139">
        <f t="shared" ref="P22:T22" si="3">P25</f>
        <v>0</v>
      </c>
      <c r="Q22" s="139">
        <f t="shared" si="3"/>
        <v>0</v>
      </c>
      <c r="R22" s="139">
        <f t="shared" si="3"/>
        <v>0</v>
      </c>
      <c r="S22" s="139">
        <f t="shared" si="3"/>
        <v>0</v>
      </c>
      <c r="T22" s="139">
        <f t="shared" si="3"/>
        <v>0</v>
      </c>
    </row>
    <row r="23" spans="1:22" s="96" customFormat="1" ht="18.75" customHeight="1">
      <c r="A23" s="561" t="s">
        <v>83</v>
      </c>
      <c r="B23" s="561" t="s">
        <v>143</v>
      </c>
      <c r="C23" s="561"/>
      <c r="D23" s="568"/>
      <c r="E23" s="541" t="s">
        <v>248</v>
      </c>
      <c r="F23" s="98" t="s">
        <v>50</v>
      </c>
      <c r="G23" s="94" t="s">
        <v>51</v>
      </c>
      <c r="H23" s="94"/>
      <c r="I23" s="95"/>
      <c r="J23" s="95"/>
      <c r="K23" s="94"/>
      <c r="L23" s="332">
        <v>81426.100000000006</v>
      </c>
      <c r="M23" s="138">
        <f>M24+M26+M25</f>
        <v>61758.45</v>
      </c>
      <c r="N23" s="354">
        <v>41104.5</v>
      </c>
      <c r="O23" s="138">
        <f>O25+O26+O24</f>
        <v>29159.9</v>
      </c>
      <c r="P23" s="138">
        <f t="shared" ref="P23:T23" si="4">P24+P26</f>
        <v>10230</v>
      </c>
      <c r="Q23" s="138">
        <f t="shared" si="4"/>
        <v>10230</v>
      </c>
      <c r="R23" s="138">
        <f t="shared" si="4"/>
        <v>25439.128000000001</v>
      </c>
      <c r="S23" s="138">
        <f t="shared" si="4"/>
        <v>25439.128000000001</v>
      </c>
      <c r="T23" s="138">
        <f t="shared" si="4"/>
        <v>25439.128000000001</v>
      </c>
      <c r="V23" s="356"/>
    </row>
    <row r="24" spans="1:22" s="96" customFormat="1" ht="43.5" customHeight="1">
      <c r="A24" s="562"/>
      <c r="B24" s="562"/>
      <c r="C24" s="562"/>
      <c r="D24" s="569"/>
      <c r="E24" s="542"/>
      <c r="F24" s="98" t="s">
        <v>232</v>
      </c>
      <c r="G24" s="94">
        <v>843</v>
      </c>
      <c r="H24" s="94">
        <v>10</v>
      </c>
      <c r="I24" s="95" t="s">
        <v>28</v>
      </c>
      <c r="J24" s="95" t="s">
        <v>125</v>
      </c>
      <c r="K24" s="94"/>
      <c r="L24" s="138">
        <v>72583.3</v>
      </c>
      <c r="M24" s="138">
        <f t="shared" ref="M24:T24" si="5">M28+M32+M33+M35</f>
        <v>45170.36</v>
      </c>
      <c r="N24" s="335">
        <f>N23-N25-N26</f>
        <v>41104.5</v>
      </c>
      <c r="O24" s="138">
        <f t="shared" si="5"/>
        <v>29159.9</v>
      </c>
      <c r="P24" s="138">
        <f t="shared" si="5"/>
        <v>10230</v>
      </c>
      <c r="Q24" s="138">
        <f t="shared" si="5"/>
        <v>10230</v>
      </c>
      <c r="R24" s="138">
        <f t="shared" si="5"/>
        <v>25439.128000000001</v>
      </c>
      <c r="S24" s="138">
        <f t="shared" si="5"/>
        <v>25439.128000000001</v>
      </c>
      <c r="T24" s="138">
        <f t="shared" si="5"/>
        <v>25439.128000000001</v>
      </c>
    </row>
    <row r="25" spans="1:22" s="96" customFormat="1" ht="31.5" customHeight="1">
      <c r="A25" s="562"/>
      <c r="B25" s="562"/>
      <c r="C25" s="562"/>
      <c r="D25" s="569"/>
      <c r="E25" s="542"/>
      <c r="F25" s="98" t="s">
        <v>78</v>
      </c>
      <c r="G25" s="94">
        <v>874</v>
      </c>
      <c r="H25" s="95" t="s">
        <v>13</v>
      </c>
      <c r="I25" s="95" t="s">
        <v>18</v>
      </c>
      <c r="J25" s="95" t="s">
        <v>125</v>
      </c>
      <c r="K25" s="94"/>
      <c r="L25" s="138">
        <v>8842.7999999999993</v>
      </c>
      <c r="M25" s="138">
        <f>M29</f>
        <v>7097.7000000000007</v>
      </c>
      <c r="N25" s="335">
        <v>0</v>
      </c>
      <c r="O25" s="138">
        <f t="shared" ref="O25:T25" si="6">O29</f>
        <v>0</v>
      </c>
      <c r="P25" s="138">
        <f t="shared" si="6"/>
        <v>0</v>
      </c>
      <c r="Q25" s="138">
        <f t="shared" si="6"/>
        <v>0</v>
      </c>
      <c r="R25" s="138">
        <f t="shared" si="6"/>
        <v>0</v>
      </c>
      <c r="S25" s="138">
        <f t="shared" si="6"/>
        <v>0</v>
      </c>
      <c r="T25" s="138">
        <f t="shared" si="6"/>
        <v>0</v>
      </c>
    </row>
    <row r="26" spans="1:22" s="96" customFormat="1" ht="59.25" customHeight="1">
      <c r="A26" s="563"/>
      <c r="B26" s="563"/>
      <c r="C26" s="563"/>
      <c r="D26" s="570"/>
      <c r="E26" s="543"/>
      <c r="F26" s="98" t="s">
        <v>208</v>
      </c>
      <c r="G26" s="94">
        <v>847</v>
      </c>
      <c r="H26" s="95" t="s">
        <v>205</v>
      </c>
      <c r="I26" s="95" t="s">
        <v>15</v>
      </c>
      <c r="J26" s="95" t="s">
        <v>125</v>
      </c>
      <c r="K26" s="94"/>
      <c r="L26" s="332">
        <v>0</v>
      </c>
      <c r="M26" s="138">
        <f>M30+M34+M36</f>
        <v>9490.39</v>
      </c>
      <c r="N26" s="335">
        <f t="shared" ref="N26:T26" si="7">N30</f>
        <v>0</v>
      </c>
      <c r="O26" s="138">
        <f t="shared" si="7"/>
        <v>0</v>
      </c>
      <c r="P26" s="138">
        <f t="shared" si="7"/>
        <v>0</v>
      </c>
      <c r="Q26" s="138">
        <f t="shared" si="7"/>
        <v>0</v>
      </c>
      <c r="R26" s="138">
        <f t="shared" si="7"/>
        <v>0</v>
      </c>
      <c r="S26" s="138">
        <f t="shared" si="7"/>
        <v>0</v>
      </c>
      <c r="T26" s="138">
        <f t="shared" si="7"/>
        <v>0</v>
      </c>
    </row>
    <row r="27" spans="1:22" ht="18.75" customHeight="1">
      <c r="A27" s="555" t="s">
        <v>83</v>
      </c>
      <c r="B27" s="555" t="s">
        <v>143</v>
      </c>
      <c r="C27" s="555" t="s">
        <v>15</v>
      </c>
      <c r="D27" s="571"/>
      <c r="E27" s="574" t="s">
        <v>87</v>
      </c>
      <c r="F27" s="4" t="s">
        <v>50</v>
      </c>
      <c r="G27" s="7" t="s">
        <v>51</v>
      </c>
      <c r="H27" s="7"/>
      <c r="I27" s="9"/>
      <c r="J27" s="9"/>
      <c r="K27" s="7"/>
      <c r="L27" s="139">
        <f>L28+L29+L30</f>
        <v>70300.399999999994</v>
      </c>
      <c r="M27" s="139">
        <f>M28+M29+M30</f>
        <v>51358.369999999995</v>
      </c>
      <c r="N27" s="353">
        <f t="shared" ref="N27:P27" si="8">N28+N29+N30</f>
        <v>38368.5</v>
      </c>
      <c r="O27" s="139">
        <f t="shared" si="8"/>
        <v>29159.9</v>
      </c>
      <c r="P27" s="139">
        <f t="shared" si="8"/>
        <v>10230</v>
      </c>
      <c r="Q27" s="139">
        <f t="shared" ref="Q27" si="9">Q28+Q29+Q30</f>
        <v>10230</v>
      </c>
      <c r="R27" s="139">
        <f t="shared" ref="R27" si="10">R28+R29+R30</f>
        <v>25439.128000000001</v>
      </c>
      <c r="S27" s="139">
        <f t="shared" ref="S27:T27" si="11">S28+S29+S30</f>
        <v>25439.128000000001</v>
      </c>
      <c r="T27" s="139">
        <f t="shared" si="11"/>
        <v>25439.128000000001</v>
      </c>
    </row>
    <row r="28" spans="1:22" ht="40.5" customHeight="1">
      <c r="A28" s="556"/>
      <c r="B28" s="556"/>
      <c r="C28" s="556"/>
      <c r="D28" s="572"/>
      <c r="E28" s="575"/>
      <c r="F28" s="4" t="s">
        <v>232</v>
      </c>
      <c r="G28" s="7">
        <v>843</v>
      </c>
      <c r="H28" s="7">
        <v>10</v>
      </c>
      <c r="I28" s="9" t="s">
        <v>28</v>
      </c>
      <c r="J28" s="9" t="s">
        <v>128</v>
      </c>
      <c r="K28" s="7"/>
      <c r="L28" s="139">
        <v>61457.599999999999</v>
      </c>
      <c r="M28" s="139">
        <v>35495.589999999997</v>
      </c>
      <c r="N28" s="353">
        <v>38368.5</v>
      </c>
      <c r="O28" s="139">
        <v>29159.9</v>
      </c>
      <c r="P28" s="139">
        <f>SUM('Приложение 7'!L34,'Приложение 7'!L44,'Приложение 7'!L50,'Приложение 7'!L56,'Приложение 7'!L62,'Приложение 7'!L68,'Приложение 7'!L74,'Приложение 7'!L81,'Приложение 7'!L86,)</f>
        <v>10230</v>
      </c>
      <c r="Q28" s="139">
        <f>SUM('Приложение 7'!M34,'Приложение 7'!M44,'Приложение 7'!M50,'Приложение 7'!M56,'Приложение 7'!M62,'Приложение 7'!M68,'Приложение 7'!M74,'Приложение 7'!M81,'Приложение 7'!M86,)</f>
        <v>10230</v>
      </c>
      <c r="R28" s="139">
        <v>25439.128000000001</v>
      </c>
      <c r="S28" s="139">
        <v>25439.128000000001</v>
      </c>
      <c r="T28" s="139">
        <v>25439.128000000001</v>
      </c>
    </row>
    <row r="29" spans="1:22" ht="40.5" customHeight="1">
      <c r="A29" s="556"/>
      <c r="B29" s="556"/>
      <c r="C29" s="556"/>
      <c r="D29" s="572"/>
      <c r="E29" s="575"/>
      <c r="F29" s="4" t="s">
        <v>78</v>
      </c>
      <c r="G29" s="7">
        <v>874</v>
      </c>
      <c r="H29" s="9" t="s">
        <v>13</v>
      </c>
      <c r="I29" s="9" t="s">
        <v>18</v>
      </c>
      <c r="J29" s="9" t="s">
        <v>128</v>
      </c>
      <c r="K29" s="7"/>
      <c r="L29" s="139">
        <v>8842.7999999999993</v>
      </c>
      <c r="M29" s="139">
        <f>SUM('Приложение 7'!I42)</f>
        <v>7097.7000000000007</v>
      </c>
      <c r="N29" s="353">
        <v>0</v>
      </c>
      <c r="O29" s="140">
        <v>0</v>
      </c>
      <c r="P29" s="139">
        <v>0</v>
      </c>
      <c r="Q29" s="139">
        <v>0</v>
      </c>
      <c r="R29" s="139">
        <v>0</v>
      </c>
      <c r="S29" s="139">
        <v>0</v>
      </c>
      <c r="T29" s="139">
        <v>0</v>
      </c>
    </row>
    <row r="30" spans="1:22" ht="40.5" customHeight="1">
      <c r="A30" s="311"/>
      <c r="B30" s="311"/>
      <c r="C30" s="311"/>
      <c r="D30" s="310"/>
      <c r="E30" s="73"/>
      <c r="F30" s="4" t="s">
        <v>88</v>
      </c>
      <c r="G30" s="7">
        <v>847</v>
      </c>
      <c r="H30" s="7">
        <v>11</v>
      </c>
      <c r="I30" s="9" t="s">
        <v>15</v>
      </c>
      <c r="J30" s="9" t="s">
        <v>128</v>
      </c>
      <c r="K30" s="7"/>
      <c r="L30" s="333">
        <v>0</v>
      </c>
      <c r="M30" s="140">
        <v>8765.08</v>
      </c>
      <c r="N30" s="140">
        <v>0</v>
      </c>
      <c r="O30" s="140">
        <v>0</v>
      </c>
      <c r="P30" s="140">
        <f>SUM('Приложение 7'!L96)</f>
        <v>0</v>
      </c>
      <c r="Q30" s="140">
        <f>SUM('Приложение 7'!M96)</f>
        <v>0</v>
      </c>
      <c r="R30" s="140">
        <f>SUM('Приложение 7'!N96)</f>
        <v>0</v>
      </c>
      <c r="S30" s="140">
        <f>SUM('Приложение 7'!O96)</f>
        <v>0</v>
      </c>
      <c r="T30" s="140">
        <f>SUM('Приложение 7'!P96)</f>
        <v>0</v>
      </c>
    </row>
    <row r="31" spans="1:22" ht="23.25" customHeight="1">
      <c r="A31" s="555" t="s">
        <v>83</v>
      </c>
      <c r="B31" s="555" t="s">
        <v>143</v>
      </c>
      <c r="C31" s="555" t="s">
        <v>16</v>
      </c>
      <c r="D31" s="571"/>
      <c r="E31" s="574" t="s">
        <v>91</v>
      </c>
      <c r="F31" s="4" t="s">
        <v>50</v>
      </c>
      <c r="G31" s="7"/>
      <c r="H31" s="9"/>
      <c r="I31" s="9"/>
      <c r="J31" s="9"/>
      <c r="K31" s="7"/>
      <c r="L31" s="139">
        <f t="shared" ref="L31:T31" si="12">L32+L30</f>
        <v>5801.5</v>
      </c>
      <c r="M31" s="139">
        <f>M32</f>
        <v>7022.71</v>
      </c>
      <c r="N31" s="353">
        <f>N32</f>
        <v>1500</v>
      </c>
      <c r="O31" s="139">
        <v>0</v>
      </c>
      <c r="P31" s="139">
        <f t="shared" si="12"/>
        <v>0</v>
      </c>
      <c r="Q31" s="139">
        <f t="shared" si="12"/>
        <v>0</v>
      </c>
      <c r="R31" s="139">
        <f t="shared" si="12"/>
        <v>0</v>
      </c>
      <c r="S31" s="139">
        <f t="shared" si="12"/>
        <v>0</v>
      </c>
      <c r="T31" s="139">
        <f t="shared" si="12"/>
        <v>0</v>
      </c>
    </row>
    <row r="32" spans="1:22" ht="56.25" customHeight="1">
      <c r="A32" s="573"/>
      <c r="B32" s="573"/>
      <c r="C32" s="573"/>
      <c r="D32" s="580"/>
      <c r="E32" s="579"/>
      <c r="F32" s="4" t="s">
        <v>236</v>
      </c>
      <c r="G32" s="7">
        <v>843</v>
      </c>
      <c r="H32" s="7">
        <v>10</v>
      </c>
      <c r="I32" s="9" t="s">
        <v>28</v>
      </c>
      <c r="J32" s="9" t="s">
        <v>129</v>
      </c>
      <c r="K32" s="7"/>
      <c r="L32" s="140">
        <v>5801.5</v>
      </c>
      <c r="M32" s="140">
        <v>7022.71</v>
      </c>
      <c r="N32" s="140">
        <v>1500</v>
      </c>
      <c r="O32" s="140">
        <v>0</v>
      </c>
      <c r="P32" s="140">
        <f>SUM('Приложение 7'!L100,)</f>
        <v>0</v>
      </c>
      <c r="Q32" s="140">
        <f>SUM('Приложение 7'!M100,)</f>
        <v>0</v>
      </c>
      <c r="R32" s="140">
        <f>SUM('Приложение 7'!N100,)</f>
        <v>0</v>
      </c>
      <c r="S32" s="140">
        <f>SUM('Приложение 7'!O100,)</f>
        <v>0</v>
      </c>
      <c r="T32" s="140">
        <f>SUM('Приложение 7'!P100,)</f>
        <v>0</v>
      </c>
      <c r="V32" s="357"/>
    </row>
    <row r="33" spans="1:24" ht="42.75" customHeight="1">
      <c r="A33" s="555" t="s">
        <v>83</v>
      </c>
      <c r="B33" s="555" t="s">
        <v>143</v>
      </c>
      <c r="C33" s="555" t="s">
        <v>17</v>
      </c>
      <c r="D33" s="555"/>
      <c r="E33" s="581" t="s">
        <v>98</v>
      </c>
      <c r="F33" s="4" t="s">
        <v>236</v>
      </c>
      <c r="G33" s="7">
        <v>843</v>
      </c>
      <c r="H33" s="7">
        <v>10</v>
      </c>
      <c r="I33" s="9" t="s">
        <v>28</v>
      </c>
      <c r="J33" s="9" t="s">
        <v>130</v>
      </c>
      <c r="K33" s="183"/>
      <c r="L33" s="141">
        <f>SUM('Приложение 7'!H126)</f>
        <v>1937.2496000000001</v>
      </c>
      <c r="M33" s="141">
        <v>942.73</v>
      </c>
      <c r="N33" s="141">
        <v>150</v>
      </c>
      <c r="O33" s="141">
        <f>SUM('Приложение 7'!K126)</f>
        <v>0</v>
      </c>
      <c r="P33" s="141">
        <f>SUM('Приложение 7'!L126)</f>
        <v>0</v>
      </c>
      <c r="Q33" s="141">
        <f>SUM('Приложение 7'!M126)</f>
        <v>0</v>
      </c>
      <c r="R33" s="141">
        <f>SUM('Приложение 7'!N126)</f>
        <v>0</v>
      </c>
      <c r="S33" s="141">
        <f>SUM('Приложение 7'!O126)</f>
        <v>0</v>
      </c>
      <c r="T33" s="141">
        <f>SUM('Приложение 7'!P126)</f>
        <v>0</v>
      </c>
    </row>
    <row r="34" spans="1:24" ht="45.75" customHeight="1">
      <c r="A34" s="583"/>
      <c r="B34" s="583"/>
      <c r="C34" s="583"/>
      <c r="D34" s="583"/>
      <c r="E34" s="582"/>
      <c r="F34" s="4" t="s">
        <v>88</v>
      </c>
      <c r="G34" s="7">
        <v>847</v>
      </c>
      <c r="H34" s="7">
        <v>11</v>
      </c>
      <c r="I34" s="9" t="s">
        <v>15</v>
      </c>
      <c r="J34" s="9" t="s">
        <v>130</v>
      </c>
      <c r="K34" s="183"/>
      <c r="L34" s="141">
        <v>0</v>
      </c>
      <c r="M34" s="141">
        <f>SUM('Приложение 7'!I138)</f>
        <v>300</v>
      </c>
      <c r="N34" s="141">
        <f>SUM('Приложение 7'!J138)</f>
        <v>300</v>
      </c>
      <c r="O34" s="141">
        <f>SUM('Приложение 7'!K138)</f>
        <v>0</v>
      </c>
      <c r="P34" s="141">
        <f>SUM('Приложение 7'!L138)</f>
        <v>0</v>
      </c>
      <c r="Q34" s="141">
        <f>SUM('Приложение 7'!M138)</f>
        <v>0</v>
      </c>
      <c r="R34" s="141">
        <f>SUM('Приложение 7'!N138)</f>
        <v>0</v>
      </c>
      <c r="S34" s="141">
        <f>SUM('Приложение 7'!O138)</f>
        <v>0</v>
      </c>
      <c r="T34" s="141">
        <f>SUM('Приложение 7'!P138)</f>
        <v>0</v>
      </c>
    </row>
    <row r="35" spans="1:24" ht="45" customHeight="1">
      <c r="A35" s="555" t="s">
        <v>83</v>
      </c>
      <c r="B35" s="555" t="s">
        <v>143</v>
      </c>
      <c r="C35" s="555" t="s">
        <v>18</v>
      </c>
      <c r="D35" s="552"/>
      <c r="E35" s="581" t="s">
        <v>102</v>
      </c>
      <c r="F35" s="4" t="s">
        <v>236</v>
      </c>
      <c r="G35" s="7">
        <v>843</v>
      </c>
      <c r="H35" s="7">
        <v>10</v>
      </c>
      <c r="I35" s="9" t="s">
        <v>28</v>
      </c>
      <c r="J35" s="9" t="s">
        <v>131</v>
      </c>
      <c r="K35" s="183"/>
      <c r="L35" s="141">
        <f>SUM('Приложение 7'!H146)</f>
        <v>3387.1</v>
      </c>
      <c r="M35" s="141">
        <v>1709.33</v>
      </c>
      <c r="N35" s="141">
        <v>1086</v>
      </c>
      <c r="O35" s="141">
        <f>SUM('Приложение 7'!K146)</f>
        <v>0</v>
      </c>
      <c r="P35" s="141">
        <f>SUM('Приложение 7'!L146)</f>
        <v>0</v>
      </c>
      <c r="Q35" s="141">
        <f>SUM('Приложение 7'!M146)</f>
        <v>0</v>
      </c>
      <c r="R35" s="141">
        <f>SUM('Приложение 7'!N146)</f>
        <v>0</v>
      </c>
      <c r="S35" s="141">
        <f>SUM('Приложение 7'!O146)</f>
        <v>0</v>
      </c>
      <c r="T35" s="141">
        <f>SUM('Приложение 7'!P146)</f>
        <v>0</v>
      </c>
    </row>
    <row r="36" spans="1:24" ht="48" customHeight="1">
      <c r="A36" s="583"/>
      <c r="B36" s="583"/>
      <c r="C36" s="583"/>
      <c r="D36" s="587"/>
      <c r="E36" s="582"/>
      <c r="F36" s="4" t="s">
        <v>88</v>
      </c>
      <c r="G36" s="7">
        <v>847</v>
      </c>
      <c r="H36" s="7">
        <v>11</v>
      </c>
      <c r="I36" s="9" t="s">
        <v>15</v>
      </c>
      <c r="J36" s="9" t="s">
        <v>131</v>
      </c>
      <c r="K36" s="183"/>
      <c r="L36" s="330">
        <v>0</v>
      </c>
      <c r="M36" s="141">
        <v>425.31</v>
      </c>
      <c r="N36" s="141">
        <v>500</v>
      </c>
      <c r="O36" s="141">
        <f>SUM('Приложение 7'!K147)</f>
        <v>0</v>
      </c>
      <c r="P36" s="141">
        <f>SUM('Приложение 7'!L147)</f>
        <v>0</v>
      </c>
      <c r="Q36" s="141">
        <f>SUM('Приложение 7'!M147)</f>
        <v>0</v>
      </c>
      <c r="R36" s="141">
        <f>SUM('Приложение 7'!N147)</f>
        <v>0</v>
      </c>
      <c r="S36" s="141">
        <f>SUM('Приложение 7'!O147)</f>
        <v>0</v>
      </c>
      <c r="T36" s="141">
        <f>SUM('Приложение 7'!P147)</f>
        <v>0</v>
      </c>
      <c r="U36" s="350"/>
      <c r="V36" s="350"/>
      <c r="W36" s="350"/>
      <c r="X36" s="350"/>
    </row>
    <row r="37" spans="1:24" s="96" customFormat="1" ht="21" customHeight="1">
      <c r="A37" s="561" t="s">
        <v>83</v>
      </c>
      <c r="B37" s="561" t="s">
        <v>144</v>
      </c>
      <c r="C37" s="561"/>
      <c r="D37" s="584"/>
      <c r="E37" s="576" t="s">
        <v>559</v>
      </c>
      <c r="F37" s="98" t="s">
        <v>50</v>
      </c>
      <c r="G37" s="94"/>
      <c r="H37" s="10"/>
      <c r="I37" s="97"/>
      <c r="J37" s="97"/>
      <c r="K37" s="10"/>
      <c r="L37" s="142">
        <v>7345</v>
      </c>
      <c r="M37" s="142">
        <f t="shared" ref="M37:N37" si="13">M38+M39</f>
        <v>7898.1</v>
      </c>
      <c r="N37" s="142">
        <f t="shared" si="13"/>
        <v>500</v>
      </c>
      <c r="O37" s="142">
        <f>SUM(O38:O39)</f>
        <v>24948.644999999997</v>
      </c>
      <c r="P37" s="142">
        <f t="shared" ref="P37:Q37" si="14">P38+P39</f>
        <v>14346.3</v>
      </c>
      <c r="Q37" s="142">
        <f t="shared" si="14"/>
        <v>14203.582105263158</v>
      </c>
      <c r="R37" s="142">
        <f t="shared" ref="R37:T37" si="15">R38</f>
        <v>14346.3</v>
      </c>
      <c r="S37" s="142">
        <f t="shared" si="15"/>
        <v>0</v>
      </c>
      <c r="T37" s="142">
        <f t="shared" si="15"/>
        <v>0</v>
      </c>
      <c r="V37" s="355"/>
    </row>
    <row r="38" spans="1:24" s="96" customFormat="1" ht="48" customHeight="1">
      <c r="A38" s="562"/>
      <c r="B38" s="562"/>
      <c r="C38" s="562"/>
      <c r="D38" s="585"/>
      <c r="E38" s="577"/>
      <c r="F38" s="98" t="s">
        <v>236</v>
      </c>
      <c r="G38" s="94">
        <v>843</v>
      </c>
      <c r="H38" s="94">
        <v>10</v>
      </c>
      <c r="I38" s="95" t="s">
        <v>28</v>
      </c>
      <c r="J38" s="95" t="s">
        <v>126</v>
      </c>
      <c r="K38" s="10"/>
      <c r="L38" s="142">
        <f>L42+L43+L44+L45+L41</f>
        <v>300</v>
      </c>
      <c r="M38" s="142">
        <f>M42+M43+M44+M45+M41</f>
        <v>3224.1</v>
      </c>
      <c r="N38" s="142">
        <f>N41+N42+N43+N44+N45</f>
        <v>500</v>
      </c>
      <c r="O38" s="142">
        <f>O45</f>
        <v>14346.294999999998</v>
      </c>
      <c r="P38" s="142">
        <f t="shared" ref="P38:T38" si="16">P42+P43+P44+P45</f>
        <v>14346.3</v>
      </c>
      <c r="Q38" s="142">
        <f t="shared" si="16"/>
        <v>14203.582105263158</v>
      </c>
      <c r="R38" s="142">
        <f t="shared" si="16"/>
        <v>14346.3</v>
      </c>
      <c r="S38" s="142">
        <f t="shared" si="16"/>
        <v>0</v>
      </c>
      <c r="T38" s="142">
        <f t="shared" si="16"/>
        <v>0</v>
      </c>
    </row>
    <row r="39" spans="1:24" s="96" customFormat="1" ht="33" customHeight="1">
      <c r="A39" s="563"/>
      <c r="B39" s="563"/>
      <c r="C39" s="563"/>
      <c r="D39" s="586"/>
      <c r="E39" s="578"/>
      <c r="F39" s="98" t="s">
        <v>78</v>
      </c>
      <c r="G39" s="94">
        <v>874</v>
      </c>
      <c r="H39" s="95" t="s">
        <v>13</v>
      </c>
      <c r="I39" s="95" t="s">
        <v>18</v>
      </c>
      <c r="J39" s="95" t="s">
        <v>126</v>
      </c>
      <c r="K39" s="10"/>
      <c r="L39" s="142">
        <v>7045</v>
      </c>
      <c r="M39" s="142">
        <f t="shared" ref="M39:T39" si="17">M40</f>
        <v>4674</v>
      </c>
      <c r="N39" s="142">
        <v>0</v>
      </c>
      <c r="O39" s="142">
        <f t="shared" si="17"/>
        <v>10602.35</v>
      </c>
      <c r="P39" s="142">
        <f t="shared" si="17"/>
        <v>0</v>
      </c>
      <c r="Q39" s="142">
        <f t="shared" si="17"/>
        <v>0</v>
      </c>
      <c r="R39" s="142">
        <f t="shared" si="17"/>
        <v>0</v>
      </c>
      <c r="S39" s="142">
        <f t="shared" si="17"/>
        <v>0</v>
      </c>
      <c r="T39" s="142">
        <f t="shared" si="17"/>
        <v>0</v>
      </c>
    </row>
    <row r="40" spans="1:24" s="96" customFormat="1" ht="108.75" customHeight="1">
      <c r="A40" s="93" t="s">
        <v>83</v>
      </c>
      <c r="B40" s="291" t="s">
        <v>144</v>
      </c>
      <c r="C40" s="291" t="s">
        <v>15</v>
      </c>
      <c r="D40" s="90"/>
      <c r="E40" s="315" t="s">
        <v>556</v>
      </c>
      <c r="F40" s="4" t="s">
        <v>78</v>
      </c>
      <c r="G40" s="7">
        <v>874</v>
      </c>
      <c r="H40" s="95" t="s">
        <v>13</v>
      </c>
      <c r="I40" s="95" t="s">
        <v>18</v>
      </c>
      <c r="J40" s="95" t="s">
        <v>168</v>
      </c>
      <c r="K40" s="7"/>
      <c r="L40" s="141">
        <v>7045</v>
      </c>
      <c r="M40" s="141">
        <f>SUM('Приложение 7'!I173)</f>
        <v>4674</v>
      </c>
      <c r="N40" s="141">
        <v>0</v>
      </c>
      <c r="O40" s="141">
        <f>SUM('Приложение 7'!K173)</f>
        <v>10602.35</v>
      </c>
      <c r="P40" s="141">
        <f>SUM('Приложение 7'!L173)</f>
        <v>0</v>
      </c>
      <c r="Q40" s="141">
        <f>SUM('Приложение 7'!M173)</f>
        <v>0</v>
      </c>
      <c r="R40" s="141">
        <f>SUM('Приложение 7'!N173)</f>
        <v>0</v>
      </c>
      <c r="S40" s="141">
        <f>SUM('Приложение 7'!O173)</f>
        <v>0</v>
      </c>
      <c r="T40" s="141">
        <f>SUM('Приложение 7'!P173)</f>
        <v>0</v>
      </c>
    </row>
    <row r="41" spans="1:24" s="96" customFormat="1" ht="49.5" customHeight="1">
      <c r="A41" s="93" t="s">
        <v>83</v>
      </c>
      <c r="B41" s="309" t="s">
        <v>144</v>
      </c>
      <c r="C41" s="309" t="s">
        <v>16</v>
      </c>
      <c r="D41" s="90"/>
      <c r="E41" s="4" t="s">
        <v>501</v>
      </c>
      <c r="F41" s="4" t="s">
        <v>237</v>
      </c>
      <c r="G41" s="7">
        <v>843</v>
      </c>
      <c r="H41" s="95" t="s">
        <v>52</v>
      </c>
      <c r="I41" s="95" t="s">
        <v>28</v>
      </c>
      <c r="J41" s="95" t="s">
        <v>127</v>
      </c>
      <c r="K41" s="7"/>
      <c r="L41" s="141">
        <f>SUM('Приложение 7'!H182)</f>
        <v>300</v>
      </c>
      <c r="M41" s="141">
        <v>3224.1</v>
      </c>
      <c r="N41" s="141">
        <v>500</v>
      </c>
      <c r="O41" s="141">
        <f>SUM('Приложение 7'!K182)</f>
        <v>0</v>
      </c>
      <c r="P41" s="141">
        <f>SUM('Приложение 7'!L182)</f>
        <v>0</v>
      </c>
      <c r="Q41" s="141">
        <f>SUM('Приложение 7'!M182)</f>
        <v>0</v>
      </c>
      <c r="R41" s="141">
        <f>SUM('Приложение 7'!N182)</f>
        <v>0</v>
      </c>
      <c r="S41" s="141">
        <f>SUM('Приложение 7'!O182)</f>
        <v>0</v>
      </c>
      <c r="T41" s="141">
        <f>SUM('Приложение 7'!P182)</f>
        <v>0</v>
      </c>
    </row>
    <row r="42" spans="1:24" ht="54.75" hidden="1" customHeight="1">
      <c r="A42" s="91" t="s">
        <v>83</v>
      </c>
      <c r="B42" s="91" t="s">
        <v>144</v>
      </c>
      <c r="C42" s="91" t="s">
        <v>17</v>
      </c>
      <c r="D42" s="183"/>
      <c r="E42" s="4" t="s">
        <v>303</v>
      </c>
      <c r="F42" s="4" t="s">
        <v>237</v>
      </c>
      <c r="G42" s="7">
        <v>843</v>
      </c>
      <c r="H42" s="94">
        <v>10</v>
      </c>
      <c r="I42" s="95" t="s">
        <v>17</v>
      </c>
      <c r="J42" s="95" t="s">
        <v>353</v>
      </c>
      <c r="K42" s="183"/>
      <c r="L42" s="141">
        <v>0</v>
      </c>
      <c r="M42" s="141">
        <f>SUM('Приложение 7'!I216)</f>
        <v>0</v>
      </c>
      <c r="N42" s="141">
        <f>SUM('Приложение 7'!J200,'Приложение 7'!J208,'Приложение 7'!J216,'Приложение 7'!J224,'Приложение 7'!J233,'Приложение 7'!J241)</f>
        <v>0</v>
      </c>
      <c r="O42" s="141">
        <f>SUM('Приложение 7'!K200,'Приложение 7'!K208,'Приложение 7'!K216,'Приложение 7'!K224,'Приложение 7'!K233,'Приложение 7'!K241)</f>
        <v>0</v>
      </c>
      <c r="P42" s="141">
        <f>SUM('Приложение 7'!L200,'Приложение 7'!L208,'Приложение 7'!L216,'Приложение 7'!L224,'Приложение 7'!L233,'Приложение 7'!L241)</f>
        <v>0</v>
      </c>
      <c r="Q42" s="141">
        <f>SUM('Приложение 7'!M200,'Приложение 7'!M208,'Приложение 7'!M216,'Приложение 7'!M224,'Приложение 7'!M233,'Приложение 7'!M241)</f>
        <v>0</v>
      </c>
      <c r="R42" s="141">
        <f>SUM('Приложение 7'!N200,'Приложение 7'!N208,'Приложение 7'!N216,'Приложение 7'!N224,'Приложение 7'!N233,'Приложение 7'!N241)</f>
        <v>0</v>
      </c>
      <c r="S42" s="141">
        <f>SUM('Приложение 7'!O200,'Приложение 7'!O208,'Приложение 7'!O216,'Приложение 7'!O224,'Приложение 7'!O233,'Приложение 7'!O241)</f>
        <v>0</v>
      </c>
      <c r="T42" s="141">
        <f>SUM('Приложение 7'!P200,'Приложение 7'!P208,'Приложение 7'!P216,'Приложение 7'!P224,'Приложение 7'!P233,'Приложение 7'!P241)</f>
        <v>0</v>
      </c>
    </row>
    <row r="43" spans="1:24" ht="71.25" hidden="1" customHeight="1">
      <c r="A43" s="93" t="s">
        <v>83</v>
      </c>
      <c r="B43" s="291" t="s">
        <v>144</v>
      </c>
      <c r="C43" s="291" t="s">
        <v>18</v>
      </c>
      <c r="D43" s="90"/>
      <c r="E43" s="90" t="s">
        <v>541</v>
      </c>
      <c r="F43" s="4" t="s">
        <v>237</v>
      </c>
      <c r="G43" s="7">
        <v>843</v>
      </c>
      <c r="H43" s="94">
        <v>10</v>
      </c>
      <c r="I43" s="95" t="s">
        <v>17</v>
      </c>
      <c r="J43" s="95" t="s">
        <v>354</v>
      </c>
      <c r="K43" s="7"/>
      <c r="L43" s="140">
        <v>0</v>
      </c>
      <c r="M43" s="140">
        <v>0</v>
      </c>
      <c r="N43" s="140">
        <f>SUM('Приложение 7'!J251,'Приложение 7'!J259,'Приложение 7'!J267)</f>
        <v>0</v>
      </c>
      <c r="O43" s="140">
        <f>SUM('Приложение 7'!K251,'Приложение 7'!K259,'Приложение 7'!K267)</f>
        <v>0</v>
      </c>
      <c r="P43" s="140">
        <f>SUM('Приложение 7'!L251,'Приложение 7'!L259,'Приложение 7'!L267)</f>
        <v>0</v>
      </c>
      <c r="Q43" s="140">
        <f>SUM('Приложение 7'!M251,'Приложение 7'!M259,'Приложение 7'!M267)</f>
        <v>0</v>
      </c>
      <c r="R43" s="140">
        <f>SUM('Приложение 7'!N251,'Приложение 7'!N259,'Приложение 7'!N267)</f>
        <v>0</v>
      </c>
      <c r="S43" s="140">
        <f>SUM('Приложение 7'!O251,'Приложение 7'!O259,'Приложение 7'!O267)</f>
        <v>0</v>
      </c>
      <c r="T43" s="140">
        <f>SUM('Приложение 7'!P251,'Приложение 7'!P259,'Приложение 7'!P267)</f>
        <v>0</v>
      </c>
    </row>
    <row r="44" spans="1:24" ht="94.5" hidden="1" customHeight="1">
      <c r="A44" s="93" t="s">
        <v>83</v>
      </c>
      <c r="B44" s="291" t="s">
        <v>144</v>
      </c>
      <c r="C44" s="291" t="s">
        <v>29</v>
      </c>
      <c r="D44" s="90"/>
      <c r="E44" s="90" t="s">
        <v>348</v>
      </c>
      <c r="F44" s="4" t="s">
        <v>237</v>
      </c>
      <c r="G44" s="7">
        <v>843</v>
      </c>
      <c r="H44" s="94">
        <v>10</v>
      </c>
      <c r="I44" s="95" t="s">
        <v>17</v>
      </c>
      <c r="J44" s="95" t="s">
        <v>500</v>
      </c>
      <c r="K44" s="7"/>
      <c r="L44" s="140">
        <v>0</v>
      </c>
      <c r="M44" s="140">
        <v>0</v>
      </c>
      <c r="N44" s="140">
        <f>SUM('Приложение 7'!J276,'Приложение 7'!J284,'Приложение 7'!J292,'Приложение 7'!J300,'Приложение 7'!J308,'Приложение 7'!J316)</f>
        <v>0</v>
      </c>
      <c r="O44" s="140">
        <f>SUM('Приложение 7'!K276,'Приложение 7'!K284,'Приложение 7'!K292,'Приложение 7'!K300,'Приложение 7'!K308,'Приложение 7'!K316)</f>
        <v>0</v>
      </c>
      <c r="P44" s="140">
        <f>SUM('Приложение 7'!L276,'Приложение 7'!L284,'Приложение 7'!L292,'Приложение 7'!L300,'Приложение 7'!L308,'Приложение 7'!L316)</f>
        <v>0</v>
      </c>
      <c r="Q44" s="140">
        <f>SUM('Приложение 7'!M276,'Приложение 7'!M284,'Приложение 7'!M292,'Приложение 7'!M300,'Приложение 7'!M308,'Приложение 7'!M316)</f>
        <v>0</v>
      </c>
      <c r="R44" s="140">
        <f>SUM('Приложение 7'!N276,'Приложение 7'!N284,'Приложение 7'!N292,'Приложение 7'!N300,'Приложение 7'!N308,'Приложение 7'!N316)</f>
        <v>0</v>
      </c>
      <c r="S44" s="140">
        <f>SUM('Приложение 7'!O276,'Приложение 7'!O284,'Приложение 7'!O292,'Приложение 7'!O300,'Приложение 7'!O308,'Приложение 7'!O316)</f>
        <v>0</v>
      </c>
      <c r="T44" s="140">
        <f>SUM('Приложение 7'!P276,'Приложение 7'!P284,'Приложение 7'!P292,'Приложение 7'!P300,'Приложение 7'!P308,'Приложение 7'!P316)</f>
        <v>0</v>
      </c>
    </row>
    <row r="45" spans="1:24" ht="67.5" customHeight="1">
      <c r="A45" s="93" t="s">
        <v>83</v>
      </c>
      <c r="B45" s="291" t="s">
        <v>144</v>
      </c>
      <c r="C45" s="291" t="s">
        <v>28</v>
      </c>
      <c r="D45" s="90"/>
      <c r="E45" s="90" t="s">
        <v>305</v>
      </c>
      <c r="F45" s="4" t="s">
        <v>237</v>
      </c>
      <c r="G45" s="7">
        <v>843</v>
      </c>
      <c r="H45" s="94">
        <v>10</v>
      </c>
      <c r="I45" s="95" t="s">
        <v>28</v>
      </c>
      <c r="J45" s="95" t="s">
        <v>515</v>
      </c>
      <c r="K45" s="7"/>
      <c r="L45" s="140">
        <f>SUM('Приложение 7'!H408)</f>
        <v>0</v>
      </c>
      <c r="M45" s="140">
        <f>SUM('Приложение 7'!I325,'Приложение 7'!I390,'Приложение 7'!I408,'Приложение 7'!I416,'Приложение 7'!I424,'Приложение 7'!I448,'Приложение 7'!I456)</f>
        <v>0</v>
      </c>
      <c r="N45" s="140">
        <f>SUM('Приложение 7'!J325,'Приложение 7'!J390,'Приложение 7'!J408,'Приложение 7'!J416,'Приложение 7'!J424,'Приложение 7'!J448,'Приложение 7'!J456)</f>
        <v>0</v>
      </c>
      <c r="O45" s="140">
        <f>SUM('Приложение 7'!K325,'Приложение 7'!K339,'Приложение 7'!K347,'Приложение 7'!K356,'Приложение 7'!K388,'Приложение 7'!K406,'Приложение 7'!K416,'Приложение 7'!K424,'Приложение 7'!K448,'Приложение 7'!K456)</f>
        <v>14346.294999999998</v>
      </c>
      <c r="P45" s="140">
        <v>14346.3</v>
      </c>
      <c r="Q45" s="140">
        <f>SUM('Приложение 7'!M325,'Приложение 7'!M339,'Приложение 7'!M347,'Приложение 7'!M356,'Приложение 7'!M388,'Приложение 7'!M406,'Приложение 7'!M416,'Приложение 7'!M424,'Приложение 7'!M448,'Приложение 7'!M456)</f>
        <v>14203.582105263158</v>
      </c>
      <c r="R45" s="139">
        <f>P45</f>
        <v>14346.3</v>
      </c>
      <c r="S45" s="139">
        <v>0</v>
      </c>
      <c r="T45" s="139">
        <v>0</v>
      </c>
    </row>
    <row r="46" spans="1:24" ht="15" customHeight="1">
      <c r="A46" s="555" t="s">
        <v>83</v>
      </c>
      <c r="B46" s="555" t="s">
        <v>177</v>
      </c>
      <c r="C46" s="555"/>
      <c r="D46" s="552"/>
      <c r="E46" s="576" t="s">
        <v>261</v>
      </c>
      <c r="F46" s="98" t="s">
        <v>50</v>
      </c>
      <c r="G46" s="7"/>
      <c r="H46" s="94"/>
      <c r="I46" s="95"/>
      <c r="J46" s="95"/>
      <c r="K46" s="7"/>
      <c r="L46" s="140">
        <f t="shared" ref="L46:T46" si="18">L47+L48</f>
        <v>0</v>
      </c>
      <c r="M46" s="140">
        <f t="shared" si="18"/>
        <v>869.87</v>
      </c>
      <c r="N46" s="140">
        <f t="shared" si="18"/>
        <v>800</v>
      </c>
      <c r="O46" s="140">
        <f t="shared" si="18"/>
        <v>0</v>
      </c>
      <c r="P46" s="140">
        <f t="shared" si="18"/>
        <v>0</v>
      </c>
      <c r="Q46" s="140">
        <f t="shared" si="18"/>
        <v>0</v>
      </c>
      <c r="R46" s="140">
        <f t="shared" si="18"/>
        <v>0</v>
      </c>
      <c r="S46" s="140">
        <f t="shared" si="18"/>
        <v>0</v>
      </c>
      <c r="T46" s="140">
        <f t="shared" si="18"/>
        <v>0</v>
      </c>
    </row>
    <row r="47" spans="1:24" ht="38.25">
      <c r="A47" s="556"/>
      <c r="B47" s="556"/>
      <c r="C47" s="556"/>
      <c r="D47" s="553"/>
      <c r="E47" s="577"/>
      <c r="F47" s="143" t="s">
        <v>115</v>
      </c>
      <c r="G47" s="7">
        <v>874</v>
      </c>
      <c r="H47" s="95" t="s">
        <v>13</v>
      </c>
      <c r="I47" s="95" t="s">
        <v>18</v>
      </c>
      <c r="J47" s="95" t="s">
        <v>352</v>
      </c>
      <c r="K47" s="7"/>
      <c r="L47" s="140">
        <v>0</v>
      </c>
      <c r="M47" s="140">
        <f>M51</f>
        <v>469.87</v>
      </c>
      <c r="N47" s="140">
        <v>800</v>
      </c>
      <c r="O47" s="140">
        <v>0</v>
      </c>
      <c r="P47" s="140">
        <f>P40</f>
        <v>0</v>
      </c>
      <c r="Q47" s="140">
        <f>Q40</f>
        <v>0</v>
      </c>
      <c r="R47" s="140">
        <f>R40</f>
        <v>0</v>
      </c>
      <c r="S47" s="140">
        <f>S40</f>
        <v>0</v>
      </c>
      <c r="T47" s="140">
        <f>T40</f>
        <v>0</v>
      </c>
    </row>
    <row r="48" spans="1:24" ht="38.25">
      <c r="A48" s="573"/>
      <c r="B48" s="573"/>
      <c r="C48" s="573"/>
      <c r="D48" s="554"/>
      <c r="E48" s="578"/>
      <c r="F48" s="98" t="s">
        <v>236</v>
      </c>
      <c r="G48" s="7">
        <v>843</v>
      </c>
      <c r="H48" s="94">
        <v>10</v>
      </c>
      <c r="I48" s="95" t="s">
        <v>28</v>
      </c>
      <c r="J48" s="95" t="s">
        <v>352</v>
      </c>
      <c r="K48" s="7"/>
      <c r="L48" s="140">
        <f t="shared" ref="L48:T48" si="19">L49+L50+L52</f>
        <v>0</v>
      </c>
      <c r="M48" s="140">
        <f t="shared" si="19"/>
        <v>400</v>
      </c>
      <c r="N48" s="140">
        <v>0</v>
      </c>
      <c r="O48" s="140">
        <f t="shared" si="19"/>
        <v>0</v>
      </c>
      <c r="P48" s="140">
        <f t="shared" si="19"/>
        <v>0</v>
      </c>
      <c r="Q48" s="140">
        <f t="shared" si="19"/>
        <v>0</v>
      </c>
      <c r="R48" s="140">
        <f t="shared" si="19"/>
        <v>0</v>
      </c>
      <c r="S48" s="140">
        <f t="shared" si="19"/>
        <v>0</v>
      </c>
      <c r="T48" s="140">
        <f t="shared" si="19"/>
        <v>0</v>
      </c>
    </row>
    <row r="49" spans="1:20" ht="68.25" hidden="1" customHeight="1">
      <c r="A49" s="93" t="s">
        <v>83</v>
      </c>
      <c r="B49" s="291" t="s">
        <v>177</v>
      </c>
      <c r="C49" s="291" t="s">
        <v>15</v>
      </c>
      <c r="D49" s="90"/>
      <c r="E49" s="312" t="s">
        <v>519</v>
      </c>
      <c r="F49" s="4" t="s">
        <v>236</v>
      </c>
      <c r="G49" s="7">
        <v>843</v>
      </c>
      <c r="H49" s="7">
        <v>10</v>
      </c>
      <c r="I49" s="9" t="s">
        <v>17</v>
      </c>
      <c r="J49" s="9" t="s">
        <v>516</v>
      </c>
      <c r="K49" s="7"/>
      <c r="L49" s="141">
        <f>SUM('Приложение 7'!H467,'Приложение 7'!H471,'Приложение 7'!H475,'Приложение 7'!H479,'Приложение 7'!H483,'Приложение 7'!H487,'Приложение 7'!H490)</f>
        <v>0</v>
      </c>
      <c r="M49" s="141">
        <f>SUM('Приложение 7'!I467,'Приложение 7'!I471,'Приложение 7'!I475,'Приложение 7'!I479,'Приложение 7'!I483,'Приложение 7'!I487,'Приложение 7'!I490,'Приложение 7'!I495,'Приложение 7'!I498,'Приложение 7'!I501,'Приложение 7'!I504,'Приложение 7'!I507)</f>
        <v>0</v>
      </c>
      <c r="N49" s="141">
        <f>SUM('Приложение 7'!J467,'Приложение 7'!J471,'Приложение 7'!J475,'Приложение 7'!J479,'Приложение 7'!J483,'Приложение 7'!J487,'Приложение 7'!J490,'Приложение 7'!J495,'Приложение 7'!J498,'Приложение 7'!J501,'Приложение 7'!J504,'Приложение 7'!J507)</f>
        <v>0</v>
      </c>
      <c r="O49" s="141">
        <f>SUM('Приложение 7'!K467,'Приложение 7'!K471,'Приложение 7'!K475,'Приложение 7'!K479,'Приложение 7'!K483,'Приложение 7'!K487,'Приложение 7'!K490,'Приложение 7'!K495,'Приложение 7'!K498,'Приложение 7'!K501,'Приложение 7'!K504,'Приложение 7'!K507)</f>
        <v>0</v>
      </c>
      <c r="P49" s="141">
        <f>SUM('Приложение 7'!L467,'Приложение 7'!L471,'Приложение 7'!L475,'Приложение 7'!L479,'Приложение 7'!L483,'Приложение 7'!L487,'Приложение 7'!L490,'Приложение 7'!L495,'Приложение 7'!L498,'Приложение 7'!L501,'Приложение 7'!L504,'Приложение 7'!L507)</f>
        <v>0</v>
      </c>
      <c r="Q49" s="141">
        <f>SUM('Приложение 7'!M467,'Приложение 7'!M471,'Приложение 7'!M475,'Приложение 7'!M479,'Приложение 7'!M483,'Приложение 7'!M487,'Приложение 7'!M490,'Приложение 7'!M495,'Приложение 7'!M498,'Приложение 7'!M501,'Приложение 7'!M504,'Приложение 7'!M507)</f>
        <v>0</v>
      </c>
      <c r="R49" s="141">
        <f>SUM('Приложение 7'!N467,'Приложение 7'!N471,'Приложение 7'!N475,'Приложение 7'!N479,'Приложение 7'!N483,'Приложение 7'!N487,'Приложение 7'!N490,'Приложение 7'!N495,'Приложение 7'!N498,'Приложение 7'!N501,'Приложение 7'!N504,'Приложение 7'!N507)</f>
        <v>0</v>
      </c>
      <c r="S49" s="141">
        <f>SUM('Приложение 7'!O467,'Приложение 7'!O471,'Приложение 7'!O475,'Приложение 7'!O479,'Приложение 7'!O483,'Приложение 7'!O487,'Приложение 7'!O490,'Приложение 7'!O495,'Приложение 7'!O498,'Приложение 7'!O501,'Приложение 7'!O504,'Приложение 7'!O507)</f>
        <v>0</v>
      </c>
      <c r="T49" s="141">
        <f>SUM('Приложение 7'!P467,'Приложение 7'!P471,'Приложение 7'!P475,'Приложение 7'!P479,'Приложение 7'!P483,'Приложение 7'!P487,'Приложение 7'!P490,'Приложение 7'!P495,'Приложение 7'!P498,'Приложение 7'!P501,'Приложение 7'!P504,'Приложение 7'!P507)</f>
        <v>0</v>
      </c>
    </row>
    <row r="50" spans="1:20" ht="57.75" customHeight="1">
      <c r="A50" s="93" t="s">
        <v>83</v>
      </c>
      <c r="B50" s="291" t="s">
        <v>177</v>
      </c>
      <c r="C50" s="291" t="s">
        <v>16</v>
      </c>
      <c r="D50" s="90"/>
      <c r="E50" s="574" t="s">
        <v>313</v>
      </c>
      <c r="F50" s="4" t="s">
        <v>236</v>
      </c>
      <c r="G50" s="7">
        <v>843</v>
      </c>
      <c r="H50" s="7">
        <v>10</v>
      </c>
      <c r="I50" s="9" t="s">
        <v>28</v>
      </c>
      <c r="J50" s="9" t="s">
        <v>350</v>
      </c>
      <c r="K50" s="7"/>
      <c r="L50" s="140">
        <f>SUM('Приложение 7'!H511,'Приложение 7'!H515,'Приложение 7'!H518,'Приложение 7'!H521)</f>
        <v>0</v>
      </c>
      <c r="M50" s="140">
        <v>400</v>
      </c>
      <c r="N50" s="140">
        <v>0</v>
      </c>
      <c r="O50" s="140">
        <f>SUM('Приложение 7'!K511,'Приложение 7'!K515,'Приложение 7'!K518,'Приложение 7'!K521)</f>
        <v>0</v>
      </c>
      <c r="P50" s="140">
        <f>SUM('Приложение 7'!L511,'Приложение 7'!L515,'Приложение 7'!L518,'Приложение 7'!L521)</f>
        <v>0</v>
      </c>
      <c r="Q50" s="140">
        <f>SUM('Приложение 7'!M511,'Приложение 7'!M515,'Приложение 7'!M518,'Приложение 7'!M521)</f>
        <v>0</v>
      </c>
      <c r="R50" s="140">
        <f>SUM('Приложение 7'!N511,'Приложение 7'!N515,'Приложение 7'!N518,'Приложение 7'!N521)</f>
        <v>0</v>
      </c>
      <c r="S50" s="140">
        <f>SUM('Приложение 7'!O511,'Приложение 7'!O515,'Приложение 7'!O518,'Приложение 7'!O521)</f>
        <v>0</v>
      </c>
      <c r="T50" s="140">
        <f>SUM('Приложение 7'!P511,'Приложение 7'!P515,'Приложение 7'!P518,'Приложение 7'!P521)</f>
        <v>0</v>
      </c>
    </row>
    <row r="51" spans="1:20" ht="30.75" customHeight="1">
      <c r="A51" s="93"/>
      <c r="B51" s="309"/>
      <c r="C51" s="309"/>
      <c r="D51" s="90"/>
      <c r="E51" s="579"/>
      <c r="F51" s="4" t="s">
        <v>78</v>
      </c>
      <c r="G51" s="7">
        <v>874</v>
      </c>
      <c r="H51" s="7">
        <v>7</v>
      </c>
      <c r="I51" s="9" t="s">
        <v>18</v>
      </c>
      <c r="J51" s="9" t="s">
        <v>350</v>
      </c>
      <c r="K51" s="7"/>
      <c r="L51" s="140"/>
      <c r="M51" s="140">
        <v>469.87</v>
      </c>
      <c r="N51" s="140"/>
      <c r="O51" s="140"/>
      <c r="P51" s="140"/>
      <c r="Q51" s="140"/>
      <c r="R51" s="140"/>
      <c r="S51" s="140"/>
      <c r="T51" s="140"/>
    </row>
    <row r="52" spans="1:20" ht="51" hidden="1" customHeight="1">
      <c r="A52" s="93" t="s">
        <v>83</v>
      </c>
      <c r="B52" s="291" t="s">
        <v>177</v>
      </c>
      <c r="C52" s="291" t="s">
        <v>17</v>
      </c>
      <c r="D52" s="292"/>
      <c r="E52" s="312" t="s">
        <v>174</v>
      </c>
      <c r="F52" s="4" t="s">
        <v>236</v>
      </c>
      <c r="G52" s="7">
        <v>843</v>
      </c>
      <c r="H52" s="7">
        <v>10</v>
      </c>
      <c r="I52" s="9" t="s">
        <v>17</v>
      </c>
      <c r="J52" s="9" t="s">
        <v>351</v>
      </c>
      <c r="K52" s="7"/>
      <c r="L52" s="140">
        <f>SUM('Приложение 7'!H538,'Приложение 7'!H541,'Приложение 7'!H545,'Приложение 7'!H548,'Приложение 7'!H551)</f>
        <v>0</v>
      </c>
      <c r="M52" s="140">
        <f>SUM('Приложение 7'!I538,'Приложение 7'!I541,'Приложение 7'!I545,'Приложение 7'!I548,'Приложение 7'!I551)</f>
        <v>0</v>
      </c>
      <c r="N52" s="140">
        <f>SUM('Приложение 7'!J538,'Приложение 7'!J541,'Приложение 7'!J545,'Приложение 7'!J548,'Приложение 7'!J551)</f>
        <v>0</v>
      </c>
      <c r="O52" s="140">
        <f>SUM('Приложение 7'!K538,'Приложение 7'!K541,'Приложение 7'!K545,'Приложение 7'!K548,'Приложение 7'!K551)</f>
        <v>0</v>
      </c>
      <c r="P52" s="140">
        <f>SUM('Приложение 7'!L538,'Приложение 7'!L541,'Приложение 7'!L545,'Приложение 7'!L548,'Приложение 7'!L551)</f>
        <v>0</v>
      </c>
      <c r="Q52" s="140">
        <f>SUM('Приложение 7'!M538,'Приложение 7'!M541,'Приложение 7'!M545,'Приложение 7'!M548,'Приложение 7'!M551)</f>
        <v>0</v>
      </c>
      <c r="R52" s="140">
        <f>SUM('Приложение 7'!N538,'Приложение 7'!N541,'Приложение 7'!N545,'Приложение 7'!N548,'Приложение 7'!N551)</f>
        <v>0</v>
      </c>
      <c r="S52" s="140">
        <f>SUM('Приложение 7'!O538,'Приложение 7'!O541,'Приложение 7'!O545,'Приложение 7'!O548,'Приложение 7'!O551)</f>
        <v>0</v>
      </c>
      <c r="T52" s="140">
        <f>SUM('Приложение 7'!P538,'Приложение 7'!P541,'Приложение 7'!P545,'Приложение 7'!P548,'Приложение 7'!P551)</f>
        <v>0</v>
      </c>
    </row>
    <row r="53" spans="1:20" ht="15" customHeight="1">
      <c r="A53" s="535" t="s">
        <v>69</v>
      </c>
      <c r="B53" s="536"/>
      <c r="C53" s="536"/>
      <c r="D53" s="536"/>
      <c r="E53" s="536"/>
      <c r="F53" s="536"/>
      <c r="G53" s="536"/>
      <c r="H53" s="536"/>
      <c r="I53" s="536"/>
      <c r="J53" s="536"/>
      <c r="K53" s="537"/>
      <c r="L53" s="139"/>
      <c r="M53" s="139"/>
      <c r="N53" s="353"/>
      <c r="O53" s="139"/>
      <c r="P53" s="139"/>
      <c r="Q53" s="139"/>
      <c r="R53" s="139"/>
      <c r="S53" s="139"/>
      <c r="T53" s="139"/>
    </row>
    <row r="54" spans="1:20" ht="18.75">
      <c r="A54" s="49"/>
      <c r="B54" s="49"/>
      <c r="C54" s="49"/>
      <c r="D54" s="49"/>
      <c r="E54" s="49"/>
      <c r="F54" s="49"/>
      <c r="G54" s="49"/>
      <c r="H54" s="49"/>
      <c r="I54" s="49"/>
      <c r="J54" s="49"/>
      <c r="K54" s="49"/>
      <c r="L54" s="144"/>
      <c r="M54" s="144"/>
      <c r="N54" s="144"/>
      <c r="O54" s="144"/>
      <c r="P54" s="144"/>
      <c r="Q54" s="144"/>
      <c r="T54" s="273" t="s">
        <v>443</v>
      </c>
    </row>
    <row r="55" spans="1:20" ht="15">
      <c r="A55" s="49"/>
      <c r="B55" s="49"/>
      <c r="C55" s="49"/>
      <c r="D55" s="39"/>
      <c r="E55" s="49"/>
      <c r="F55" s="49"/>
      <c r="G55" s="145"/>
      <c r="H55" s="145"/>
      <c r="I55" s="145"/>
      <c r="J55" s="145" t="s">
        <v>203</v>
      </c>
      <c r="K55" s="145"/>
      <c r="L55" s="145"/>
    </row>
  </sheetData>
  <mergeCells count="55">
    <mergeCell ref="E35:E36"/>
    <mergeCell ref="D35:D36"/>
    <mergeCell ref="C35:C36"/>
    <mergeCell ref="B35:B36"/>
    <mergeCell ref="A35:A36"/>
    <mergeCell ref="E50:E51"/>
    <mergeCell ref="E37:E39"/>
    <mergeCell ref="D37:D39"/>
    <mergeCell ref="C37:C39"/>
    <mergeCell ref="B37:B39"/>
    <mergeCell ref="B31:B32"/>
    <mergeCell ref="E27:E29"/>
    <mergeCell ref="E46:E48"/>
    <mergeCell ref="A46:A48"/>
    <mergeCell ref="B46:B48"/>
    <mergeCell ref="C46:C48"/>
    <mergeCell ref="A37:A39"/>
    <mergeCell ref="E31:E32"/>
    <mergeCell ref="D31:D32"/>
    <mergeCell ref="C31:C32"/>
    <mergeCell ref="A31:A32"/>
    <mergeCell ref="E33:E34"/>
    <mergeCell ref="A33:A34"/>
    <mergeCell ref="B33:B34"/>
    <mergeCell ref="C33:C34"/>
    <mergeCell ref="D33:D34"/>
    <mergeCell ref="C23:C26"/>
    <mergeCell ref="D23:D26"/>
    <mergeCell ref="A27:A29"/>
    <mergeCell ref="B27:B29"/>
    <mergeCell ref="D27:D29"/>
    <mergeCell ref="C27:C29"/>
    <mergeCell ref="A14:E14"/>
    <mergeCell ref="M6:T6"/>
    <mergeCell ref="M7:T7"/>
    <mergeCell ref="F12:T12"/>
    <mergeCell ref="F13:T13"/>
    <mergeCell ref="F14:T14"/>
    <mergeCell ref="A10:T10"/>
    <mergeCell ref="A53:K53"/>
    <mergeCell ref="F15:T15"/>
    <mergeCell ref="E19:E22"/>
    <mergeCell ref="E23:E26"/>
    <mergeCell ref="A17:D17"/>
    <mergeCell ref="E17:E18"/>
    <mergeCell ref="F17:F18"/>
    <mergeCell ref="G17:K17"/>
    <mergeCell ref="L17:T17"/>
    <mergeCell ref="D46:D48"/>
    <mergeCell ref="A19:A22"/>
    <mergeCell ref="B19:B22"/>
    <mergeCell ref="C19:C22"/>
    <mergeCell ref="D19:D22"/>
    <mergeCell ref="A23:A26"/>
    <mergeCell ref="B23:B26"/>
  </mergeCells>
  <pageMargins left="0.51181102362204722" right="0.51181102362204722" top="0.55118110236220474" bottom="0.55118110236220474" header="0.11811023622047245" footer="0.11811023622047245"/>
  <pageSetup paperSize="9" scale="54" fitToHeight="4" orientation="landscape" r:id="rId1"/>
  <headerFooter differentFirst="1">
    <oddHeader>&amp;C&amp;P</oddHeader>
  </headerFooter>
  <rowBreaks count="1" manualBreakCount="1">
    <brk id="31" max="19" man="1"/>
  </rowBreaks>
</worksheet>
</file>

<file path=xl/worksheets/sheet6.xml><?xml version="1.0" encoding="utf-8"?>
<worksheet xmlns="http://schemas.openxmlformats.org/spreadsheetml/2006/main" xmlns:r="http://schemas.openxmlformats.org/officeDocument/2006/relationships">
  <sheetPr>
    <tabColor theme="6" tint="0.39997558519241921"/>
  </sheetPr>
  <dimension ref="A1:O197"/>
  <sheetViews>
    <sheetView view="pageBreakPreview" zoomScale="90" zoomScaleSheetLayoutView="90" zoomScalePageLayoutView="90" workbookViewId="0">
      <selection activeCell="D23" sqref="D23"/>
    </sheetView>
  </sheetViews>
  <sheetFormatPr defaultRowHeight="15"/>
  <cols>
    <col min="1" max="1" width="6.28515625" style="57" customWidth="1"/>
    <col min="2" max="2" width="7" style="57" customWidth="1"/>
    <col min="3" max="3" width="37.42578125" style="58" customWidth="1"/>
    <col min="4" max="4" width="43" style="58" customWidth="1"/>
    <col min="5" max="5" width="13.5703125" style="75" customWidth="1"/>
    <col min="6" max="9" width="12" style="131" bestFit="1" customWidth="1"/>
    <col min="10" max="10" width="10.7109375" style="131" customWidth="1"/>
    <col min="11" max="11" width="10.7109375" style="58" customWidth="1"/>
    <col min="12" max="16384" width="9.140625" style="58"/>
  </cols>
  <sheetData>
    <row r="1" spans="1:13" ht="18.75">
      <c r="J1" s="449" t="s">
        <v>42</v>
      </c>
    </row>
    <row r="2" spans="1:13" ht="18.75">
      <c r="J2" s="449" t="s">
        <v>431</v>
      </c>
    </row>
    <row r="3" spans="1:13" ht="18.75">
      <c r="J3" s="280" t="s">
        <v>432</v>
      </c>
    </row>
    <row r="4" spans="1:13" ht="18.75">
      <c r="J4" s="280" t="s">
        <v>617</v>
      </c>
    </row>
    <row r="5" spans="1:13" ht="21" customHeight="1"/>
    <row r="6" spans="1:13" ht="18.75">
      <c r="A6" s="119"/>
      <c r="B6" s="119"/>
      <c r="C6" s="113"/>
      <c r="D6" s="113"/>
      <c r="E6" s="125"/>
      <c r="G6" s="154"/>
      <c r="H6" s="155"/>
      <c r="I6" s="155"/>
      <c r="J6" s="452" t="s">
        <v>453</v>
      </c>
    </row>
    <row r="7" spans="1:13" ht="14.25" customHeight="1">
      <c r="A7" s="119"/>
      <c r="B7" s="119"/>
      <c r="C7" s="59"/>
      <c r="D7" s="113"/>
      <c r="E7" s="125"/>
      <c r="G7" s="154"/>
      <c r="H7" s="157"/>
      <c r="I7" s="157"/>
      <c r="J7" s="451" t="s">
        <v>179</v>
      </c>
    </row>
    <row r="8" spans="1:13" ht="15.75" customHeight="1">
      <c r="A8" s="119"/>
      <c r="B8" s="119"/>
      <c r="C8" s="59"/>
      <c r="D8" s="113"/>
      <c r="E8" s="125"/>
      <c r="G8" s="154"/>
      <c r="H8" s="158"/>
      <c r="I8" s="158"/>
      <c r="J8" s="451" t="s">
        <v>173</v>
      </c>
    </row>
    <row r="9" spans="1:13" ht="18.75">
      <c r="A9" s="119"/>
      <c r="B9" s="119"/>
      <c r="C9" s="113"/>
      <c r="D9" s="113"/>
      <c r="E9" s="125"/>
      <c r="F9" s="130"/>
      <c r="G9" s="130"/>
      <c r="H9" s="130"/>
      <c r="I9" s="130"/>
      <c r="J9" s="130"/>
    </row>
    <row r="10" spans="1:13" ht="17.25" customHeight="1">
      <c r="A10" s="588" t="s">
        <v>79</v>
      </c>
      <c r="B10" s="588"/>
      <c r="C10" s="588"/>
      <c r="D10" s="588"/>
      <c r="E10" s="588"/>
      <c r="F10" s="588"/>
      <c r="G10" s="588"/>
      <c r="H10" s="588"/>
      <c r="I10" s="588"/>
      <c r="J10" s="588"/>
      <c r="K10" s="588"/>
      <c r="L10" s="588"/>
      <c r="M10" s="588"/>
    </row>
    <row r="11" spans="1:13" ht="16.5" customHeight="1">
      <c r="A11" s="60"/>
      <c r="B11" s="60"/>
      <c r="C11" s="61"/>
      <c r="D11" s="61"/>
    </row>
    <row r="12" spans="1:13" ht="19.5">
      <c r="A12" s="564" t="s">
        <v>0</v>
      </c>
      <c r="B12" s="564"/>
      <c r="C12" s="589"/>
      <c r="D12" s="590" t="s">
        <v>133</v>
      </c>
      <c r="E12" s="590"/>
    </row>
    <row r="13" spans="1:13" ht="18.75">
      <c r="A13" s="591"/>
      <c r="B13" s="592"/>
      <c r="C13" s="592"/>
      <c r="D13" s="99" t="s">
        <v>134</v>
      </c>
    </row>
    <row r="14" spans="1:13" ht="18.75">
      <c r="A14" s="564" t="s">
        <v>2</v>
      </c>
      <c r="B14" s="564"/>
      <c r="C14" s="589" t="s">
        <v>53</v>
      </c>
      <c r="D14" s="3" t="s">
        <v>238</v>
      </c>
      <c r="E14" s="126"/>
    </row>
    <row r="15" spans="1:13">
      <c r="A15" s="62"/>
      <c r="B15" s="62"/>
      <c r="C15" s="99"/>
      <c r="D15" s="99" t="s">
        <v>3</v>
      </c>
    </row>
    <row r="16" spans="1:13">
      <c r="A16" s="45"/>
      <c r="B16" s="45"/>
      <c r="C16" s="11"/>
      <c r="D16" s="11"/>
    </row>
    <row r="17" spans="1:14" s="11" customFormat="1" ht="50.25" customHeight="1">
      <c r="A17" s="593" t="s">
        <v>4</v>
      </c>
      <c r="B17" s="594"/>
      <c r="C17" s="595" t="s">
        <v>54</v>
      </c>
      <c r="D17" s="595" t="s">
        <v>55</v>
      </c>
      <c r="E17" s="597" t="s">
        <v>139</v>
      </c>
      <c r="F17" s="597"/>
      <c r="G17" s="597"/>
      <c r="H17" s="597"/>
      <c r="I17" s="597"/>
      <c r="J17" s="597"/>
      <c r="K17" s="597"/>
      <c r="L17" s="597"/>
      <c r="M17" s="597"/>
    </row>
    <row r="18" spans="1:14" s="11" customFormat="1" ht="24" customHeight="1">
      <c r="A18" s="63" t="s">
        <v>9</v>
      </c>
      <c r="B18" s="64" t="s">
        <v>10</v>
      </c>
      <c r="C18" s="544" t="s">
        <v>39</v>
      </c>
      <c r="D18" s="596"/>
      <c r="E18" s="295" t="s">
        <v>71</v>
      </c>
      <c r="F18" s="295" t="s">
        <v>72</v>
      </c>
      <c r="G18" s="295" t="s">
        <v>73</v>
      </c>
      <c r="H18" s="295" t="s">
        <v>74</v>
      </c>
      <c r="I18" s="427" t="s">
        <v>84</v>
      </c>
      <c r="J18" s="450" t="s">
        <v>85</v>
      </c>
      <c r="K18" s="682" t="s">
        <v>360</v>
      </c>
      <c r="L18" s="231" t="s">
        <v>361</v>
      </c>
      <c r="M18" s="231" t="s">
        <v>362</v>
      </c>
    </row>
    <row r="19" spans="1:14" s="11" customFormat="1">
      <c r="A19" s="599" t="s">
        <v>83</v>
      </c>
      <c r="B19" s="599"/>
      <c r="C19" s="602" t="s">
        <v>163</v>
      </c>
      <c r="D19" s="30" t="s">
        <v>50</v>
      </c>
      <c r="E19" s="133">
        <v>88771.287593000015</v>
      </c>
      <c r="F19" s="133">
        <f>F20+F21</f>
        <v>70526.399999999994</v>
      </c>
      <c r="G19" s="351">
        <f>G20</f>
        <v>42404.5</v>
      </c>
      <c r="H19" s="133">
        <f t="shared" ref="H19" si="0">H20</f>
        <v>54108.5</v>
      </c>
      <c r="I19" s="133">
        <f t="shared" ref="I19" si="1">I20</f>
        <v>24576.3</v>
      </c>
      <c r="J19" s="133">
        <f t="shared" ref="J19" si="2">J20</f>
        <v>24433.58</v>
      </c>
      <c r="K19" s="133">
        <f>K20</f>
        <v>39785.428</v>
      </c>
      <c r="L19" s="133">
        <f t="shared" ref="L19" si="3">L20</f>
        <v>25439.13</v>
      </c>
      <c r="M19" s="133">
        <f t="shared" ref="M19" si="4">M20</f>
        <v>25439.13</v>
      </c>
    </row>
    <row r="20" spans="1:14" s="70" customFormat="1" ht="17.25" customHeight="1">
      <c r="A20" s="600"/>
      <c r="B20" s="600"/>
      <c r="C20" s="603"/>
      <c r="D20" s="30" t="s">
        <v>80</v>
      </c>
      <c r="E20" s="133">
        <v>88771.287593000015</v>
      </c>
      <c r="F20" s="133">
        <v>51526.2</v>
      </c>
      <c r="G20" s="351">
        <f>G29+G38+G47</f>
        <v>42404.5</v>
      </c>
      <c r="H20" s="133">
        <v>54108.5</v>
      </c>
      <c r="I20" s="133">
        <v>24576.3</v>
      </c>
      <c r="J20" s="133">
        <f>J28+J37</f>
        <v>24433.58</v>
      </c>
      <c r="K20" s="133">
        <f>K28+K37</f>
        <v>39785.428</v>
      </c>
      <c r="L20" s="133">
        <v>25439.13</v>
      </c>
      <c r="M20" s="133">
        <v>25439.13</v>
      </c>
    </row>
    <row r="21" spans="1:14" s="11" customFormat="1">
      <c r="A21" s="600"/>
      <c r="B21" s="600"/>
      <c r="C21" s="603"/>
      <c r="D21" s="30" t="s">
        <v>81</v>
      </c>
      <c r="E21" s="132">
        <v>22221.4</v>
      </c>
      <c r="F21" s="132">
        <v>19000.2</v>
      </c>
      <c r="G21" s="352">
        <v>9134.2000000000007</v>
      </c>
      <c r="H21" s="132">
        <f>H30+H39</f>
        <v>39138.300000000003</v>
      </c>
      <c r="I21" s="132">
        <v>11620.53</v>
      </c>
      <c r="J21" s="132">
        <v>11504.9</v>
      </c>
      <c r="K21" s="132">
        <v>0</v>
      </c>
      <c r="L21" s="132">
        <v>0</v>
      </c>
      <c r="M21" s="132">
        <v>0</v>
      </c>
    </row>
    <row r="22" spans="1:14" s="11" customFormat="1">
      <c r="A22" s="600"/>
      <c r="B22" s="600"/>
      <c r="C22" s="603"/>
      <c r="D22" s="30" t="s">
        <v>56</v>
      </c>
      <c r="E22" s="181">
        <v>0</v>
      </c>
      <c r="F22" s="181">
        <v>0</v>
      </c>
      <c r="G22" s="352">
        <v>0</v>
      </c>
      <c r="H22" s="132">
        <v>0</v>
      </c>
      <c r="I22" s="132">
        <v>0</v>
      </c>
      <c r="J22" s="132">
        <v>0</v>
      </c>
      <c r="K22" s="132">
        <v>0</v>
      </c>
      <c r="L22" s="132">
        <v>0</v>
      </c>
      <c r="M22" s="132">
        <v>0</v>
      </c>
    </row>
    <row r="23" spans="1:14" s="11" customFormat="1" ht="30">
      <c r="A23" s="600"/>
      <c r="B23" s="600"/>
      <c r="C23" s="603"/>
      <c r="D23" s="30" t="s">
        <v>241</v>
      </c>
      <c r="E23" s="181">
        <v>0</v>
      </c>
      <c r="F23" s="181">
        <v>0</v>
      </c>
      <c r="G23" s="352">
        <v>0</v>
      </c>
      <c r="H23" s="132">
        <v>0</v>
      </c>
      <c r="I23" s="132">
        <v>0</v>
      </c>
      <c r="J23" s="132">
        <v>0</v>
      </c>
      <c r="K23" s="132">
        <v>0</v>
      </c>
      <c r="L23" s="132">
        <v>0</v>
      </c>
      <c r="M23" s="132">
        <v>0</v>
      </c>
    </row>
    <row r="24" spans="1:14" s="11" customFormat="1" ht="30">
      <c r="A24" s="600"/>
      <c r="B24" s="600"/>
      <c r="C24" s="603"/>
      <c r="D24" s="30" t="s">
        <v>57</v>
      </c>
      <c r="E24" s="181">
        <v>0</v>
      </c>
      <c r="F24" s="181">
        <f>F33+F42</f>
        <v>0</v>
      </c>
      <c r="G24" s="352">
        <f>G33+G42+G51</f>
        <v>0</v>
      </c>
      <c r="H24" s="132">
        <f t="shared" ref="H24:M24" si="5">H33+H42</f>
        <v>0</v>
      </c>
      <c r="I24" s="132">
        <f t="shared" si="5"/>
        <v>0</v>
      </c>
      <c r="J24" s="132">
        <f t="shared" si="5"/>
        <v>0</v>
      </c>
      <c r="K24" s="132">
        <f t="shared" si="5"/>
        <v>11620.5</v>
      </c>
      <c r="L24" s="132">
        <f t="shared" si="5"/>
        <v>0</v>
      </c>
      <c r="M24" s="132">
        <f t="shared" si="5"/>
        <v>0</v>
      </c>
    </row>
    <row r="25" spans="1:14" s="11" customFormat="1" ht="45">
      <c r="A25" s="600"/>
      <c r="B25" s="600"/>
      <c r="C25" s="603"/>
      <c r="D25" s="30" t="s">
        <v>58</v>
      </c>
      <c r="E25" s="181">
        <v>0</v>
      </c>
      <c r="F25" s="181">
        <v>0</v>
      </c>
      <c r="G25" s="352">
        <v>0</v>
      </c>
      <c r="H25" s="132">
        <v>0</v>
      </c>
      <c r="I25" s="132">
        <v>0</v>
      </c>
      <c r="J25" s="132">
        <v>0</v>
      </c>
      <c r="K25" s="132">
        <v>0</v>
      </c>
      <c r="L25" s="132">
        <v>0</v>
      </c>
      <c r="M25" s="132">
        <v>0</v>
      </c>
    </row>
    <row r="26" spans="1:14" s="11" customFormat="1" ht="30">
      <c r="A26" s="600"/>
      <c r="B26" s="600"/>
      <c r="C26" s="603"/>
      <c r="D26" s="30" t="s">
        <v>476</v>
      </c>
      <c r="E26" s="181">
        <v>0</v>
      </c>
      <c r="F26" s="181">
        <v>0</v>
      </c>
      <c r="G26" s="352">
        <v>0</v>
      </c>
      <c r="H26" s="132">
        <v>0</v>
      </c>
      <c r="I26" s="132">
        <v>0</v>
      </c>
      <c r="J26" s="132">
        <v>0</v>
      </c>
      <c r="K26" s="132">
        <v>0</v>
      </c>
      <c r="L26" s="132">
        <v>0</v>
      </c>
      <c r="M26" s="132">
        <v>0</v>
      </c>
    </row>
    <row r="27" spans="1:14" s="11" customFormat="1">
      <c r="A27" s="601"/>
      <c r="B27" s="601"/>
      <c r="C27" s="604"/>
      <c r="D27" s="30" t="s">
        <v>59</v>
      </c>
      <c r="E27" s="181">
        <v>0</v>
      </c>
      <c r="F27" s="181">
        <v>0</v>
      </c>
      <c r="G27" s="352">
        <v>0</v>
      </c>
      <c r="H27" s="132">
        <v>0</v>
      </c>
      <c r="I27" s="132">
        <v>0</v>
      </c>
      <c r="J27" s="132">
        <v>0</v>
      </c>
      <c r="K27" s="132">
        <v>0</v>
      </c>
      <c r="L27" s="132">
        <v>0</v>
      </c>
      <c r="M27" s="132">
        <v>0</v>
      </c>
    </row>
    <row r="28" spans="1:14" s="11" customFormat="1" ht="15" customHeight="1">
      <c r="A28" s="599" t="s">
        <v>83</v>
      </c>
      <c r="B28" s="599" t="s">
        <v>143</v>
      </c>
      <c r="C28" s="602" t="s">
        <v>164</v>
      </c>
      <c r="D28" s="30" t="s">
        <v>50</v>
      </c>
      <c r="E28" s="132">
        <v>81426.286829999997</v>
      </c>
      <c r="F28" s="132">
        <f>F29+F30</f>
        <v>61758.5</v>
      </c>
      <c r="G28" s="352">
        <f>G29</f>
        <v>41104.5</v>
      </c>
      <c r="H28" s="132">
        <f>H29+H33</f>
        <v>30550.400000000001</v>
      </c>
      <c r="I28" s="132">
        <f t="shared" ref="I28:M28" si="6">I29+I33</f>
        <v>10230</v>
      </c>
      <c r="J28" s="132">
        <f t="shared" si="6"/>
        <v>10230</v>
      </c>
      <c r="K28" s="132">
        <f t="shared" si="6"/>
        <v>25439.128000000001</v>
      </c>
      <c r="L28" s="132">
        <f t="shared" si="6"/>
        <v>25439.128000000001</v>
      </c>
      <c r="M28" s="132">
        <f t="shared" si="6"/>
        <v>25439.128000000001</v>
      </c>
      <c r="N28" s="75"/>
    </row>
    <row r="29" spans="1:14" s="11" customFormat="1" ht="14.25" customHeight="1">
      <c r="A29" s="600"/>
      <c r="B29" s="600"/>
      <c r="C29" s="603"/>
      <c r="D29" s="30" t="s">
        <v>80</v>
      </c>
      <c r="E29" s="132">
        <v>81426.286829999997</v>
      </c>
      <c r="F29" s="132">
        <v>46544.2</v>
      </c>
      <c r="G29" s="352">
        <v>41104.5</v>
      </c>
      <c r="H29" s="132">
        <v>30550.400000000001</v>
      </c>
      <c r="I29" s="132">
        <f>'Приложение 5'!P23</f>
        <v>10230</v>
      </c>
      <c r="J29" s="132">
        <f>'Приложение 5'!Q23</f>
        <v>10230</v>
      </c>
      <c r="K29" s="132">
        <f>'Приложение 5'!R23</f>
        <v>25439.128000000001</v>
      </c>
      <c r="L29" s="132">
        <f>'Приложение 5'!S23</f>
        <v>25439.128000000001</v>
      </c>
      <c r="M29" s="132">
        <f>'Приложение 5'!T23</f>
        <v>25439.128000000001</v>
      </c>
    </row>
    <row r="30" spans="1:14" s="11" customFormat="1">
      <c r="A30" s="600"/>
      <c r="B30" s="600"/>
      <c r="C30" s="603"/>
      <c r="D30" s="30" t="s">
        <v>81</v>
      </c>
      <c r="E30" s="132">
        <v>18176.400000000005</v>
      </c>
      <c r="F30" s="132">
        <v>15214.3</v>
      </c>
      <c r="G30" s="352">
        <v>9134.2000000000007</v>
      </c>
      <c r="H30" s="132">
        <v>18929.900000000001</v>
      </c>
      <c r="I30" s="132">
        <v>0</v>
      </c>
      <c r="J30" s="132">
        <v>0</v>
      </c>
      <c r="K30" s="132">
        <v>0</v>
      </c>
      <c r="L30" s="132">
        <v>0</v>
      </c>
      <c r="M30" s="132">
        <v>0</v>
      </c>
    </row>
    <row r="31" spans="1:14" s="11" customFormat="1">
      <c r="A31" s="600"/>
      <c r="B31" s="600"/>
      <c r="C31" s="603"/>
      <c r="D31" s="30" t="s">
        <v>56</v>
      </c>
      <c r="E31" s="181">
        <v>0</v>
      </c>
      <c r="F31" s="182">
        <v>0</v>
      </c>
      <c r="G31" s="352">
        <v>0</v>
      </c>
      <c r="H31" s="132">
        <v>0</v>
      </c>
      <c r="I31" s="132">
        <v>0</v>
      </c>
      <c r="J31" s="132">
        <v>0</v>
      </c>
      <c r="K31" s="132">
        <v>0</v>
      </c>
      <c r="L31" s="132">
        <v>0</v>
      </c>
      <c r="M31" s="132">
        <v>0</v>
      </c>
    </row>
    <row r="32" spans="1:14" s="11" customFormat="1" ht="30">
      <c r="A32" s="600"/>
      <c r="B32" s="600"/>
      <c r="C32" s="603"/>
      <c r="D32" s="30" t="s">
        <v>241</v>
      </c>
      <c r="E32" s="181">
        <v>0</v>
      </c>
      <c r="F32" s="182">
        <v>0</v>
      </c>
      <c r="G32" s="352">
        <v>0</v>
      </c>
      <c r="H32" s="132">
        <v>0</v>
      </c>
      <c r="I32" s="132">
        <v>0</v>
      </c>
      <c r="J32" s="132">
        <v>0</v>
      </c>
      <c r="K32" s="132">
        <v>0</v>
      </c>
      <c r="L32" s="132">
        <v>0</v>
      </c>
      <c r="M32" s="132">
        <v>0</v>
      </c>
    </row>
    <row r="33" spans="1:15" s="11" customFormat="1" ht="30">
      <c r="A33" s="600"/>
      <c r="B33" s="600"/>
      <c r="C33" s="603"/>
      <c r="D33" s="30" t="s">
        <v>57</v>
      </c>
      <c r="E33" s="181">
        <v>0</v>
      </c>
      <c r="F33" s="182">
        <v>0</v>
      </c>
      <c r="G33" s="182">
        <v>0</v>
      </c>
      <c r="H33" s="132">
        <v>0</v>
      </c>
      <c r="I33" s="132">
        <v>0</v>
      </c>
      <c r="J33" s="132">
        <v>0</v>
      </c>
      <c r="K33" s="132">
        <v>0</v>
      </c>
      <c r="L33" s="132">
        <v>0</v>
      </c>
      <c r="M33" s="132">
        <v>0</v>
      </c>
    </row>
    <row r="34" spans="1:15" s="11" customFormat="1" ht="45">
      <c r="A34" s="600"/>
      <c r="B34" s="600"/>
      <c r="C34" s="603"/>
      <c r="D34" s="30" t="s">
        <v>58</v>
      </c>
      <c r="E34" s="181">
        <v>0</v>
      </c>
      <c r="F34" s="182">
        <v>0</v>
      </c>
      <c r="G34" s="352">
        <v>0</v>
      </c>
      <c r="H34" s="132">
        <v>0</v>
      </c>
      <c r="I34" s="132">
        <v>0</v>
      </c>
      <c r="J34" s="132">
        <v>0</v>
      </c>
      <c r="K34" s="132">
        <v>0</v>
      </c>
      <c r="L34" s="132">
        <v>0</v>
      </c>
      <c r="M34" s="132">
        <v>0</v>
      </c>
    </row>
    <row r="35" spans="1:15" s="11" customFormat="1" ht="30">
      <c r="A35" s="600"/>
      <c r="B35" s="600"/>
      <c r="C35" s="603"/>
      <c r="D35" s="30" t="s">
        <v>476</v>
      </c>
      <c r="E35" s="181">
        <v>0</v>
      </c>
      <c r="F35" s="181">
        <v>0</v>
      </c>
      <c r="G35" s="352">
        <v>0</v>
      </c>
      <c r="H35" s="132">
        <v>0</v>
      </c>
      <c r="I35" s="132">
        <v>0</v>
      </c>
      <c r="J35" s="132">
        <v>0</v>
      </c>
      <c r="K35" s="132">
        <v>0</v>
      </c>
      <c r="L35" s="132">
        <v>0</v>
      </c>
      <c r="M35" s="132">
        <v>0</v>
      </c>
    </row>
    <row r="36" spans="1:15" s="11" customFormat="1">
      <c r="A36" s="601"/>
      <c r="B36" s="601"/>
      <c r="C36" s="604"/>
      <c r="D36" s="30" t="s">
        <v>59</v>
      </c>
      <c r="E36" s="181">
        <v>0</v>
      </c>
      <c r="F36" s="181">
        <v>0</v>
      </c>
      <c r="G36" s="352">
        <v>0</v>
      </c>
      <c r="H36" s="132">
        <v>0</v>
      </c>
      <c r="I36" s="132">
        <v>0</v>
      </c>
      <c r="J36" s="132">
        <v>0</v>
      </c>
      <c r="K36" s="132">
        <v>0</v>
      </c>
      <c r="L36" s="132">
        <v>0</v>
      </c>
      <c r="M36" s="132">
        <v>0</v>
      </c>
    </row>
    <row r="37" spans="1:15" s="11" customFormat="1">
      <c r="A37" s="599" t="s">
        <v>83</v>
      </c>
      <c r="B37" s="599" t="s">
        <v>144</v>
      </c>
      <c r="C37" s="602" t="s">
        <v>560</v>
      </c>
      <c r="D37" s="30" t="s">
        <v>50</v>
      </c>
      <c r="E37" s="132">
        <f>E38</f>
        <v>7345</v>
      </c>
      <c r="F37" s="132">
        <f>F38+F39</f>
        <v>7898.1</v>
      </c>
      <c r="G37" s="352">
        <f t="shared" ref="G37:M37" si="7">G38+G42</f>
        <v>500</v>
      </c>
      <c r="H37" s="132">
        <f t="shared" si="7"/>
        <v>24948.7</v>
      </c>
      <c r="I37" s="132">
        <f t="shared" si="7"/>
        <v>14346.3</v>
      </c>
      <c r="J37" s="132">
        <f t="shared" si="7"/>
        <v>14203.58</v>
      </c>
      <c r="K37" s="132">
        <f>K38</f>
        <v>14346.3</v>
      </c>
      <c r="L37" s="132">
        <f t="shared" si="7"/>
        <v>0</v>
      </c>
      <c r="M37" s="132">
        <f t="shared" si="7"/>
        <v>0</v>
      </c>
      <c r="O37" s="75"/>
    </row>
    <row r="38" spans="1:15" s="11" customFormat="1" ht="17.25" customHeight="1">
      <c r="A38" s="600"/>
      <c r="B38" s="600"/>
      <c r="C38" s="603"/>
      <c r="D38" s="30" t="s">
        <v>80</v>
      </c>
      <c r="E38" s="132">
        <v>7345</v>
      </c>
      <c r="F38" s="132">
        <v>4112.2</v>
      </c>
      <c r="G38" s="352">
        <v>500</v>
      </c>
      <c r="H38" s="132">
        <v>24948.7</v>
      </c>
      <c r="I38" s="132">
        <v>14346.3</v>
      </c>
      <c r="J38" s="132">
        <v>14203.58</v>
      </c>
      <c r="K38" s="132">
        <v>14346.3</v>
      </c>
      <c r="L38" s="132">
        <v>0</v>
      </c>
      <c r="M38" s="132">
        <v>0</v>
      </c>
    </row>
    <row r="39" spans="1:15" s="11" customFormat="1">
      <c r="A39" s="600"/>
      <c r="B39" s="600"/>
      <c r="C39" s="603"/>
      <c r="D39" s="30" t="s">
        <v>81</v>
      </c>
      <c r="E39" s="132">
        <v>4045</v>
      </c>
      <c r="F39" s="132">
        <v>3785.9</v>
      </c>
      <c r="G39" s="352">
        <v>0</v>
      </c>
      <c r="H39" s="132">
        <v>20208.400000000001</v>
      </c>
      <c r="I39" s="132">
        <v>11620.5</v>
      </c>
      <c r="J39" s="132">
        <v>11504.9</v>
      </c>
      <c r="K39" s="132">
        <v>0</v>
      </c>
      <c r="L39" s="132">
        <v>0</v>
      </c>
      <c r="M39" s="132">
        <v>0</v>
      </c>
      <c r="N39" s="75"/>
    </row>
    <row r="40" spans="1:15" s="11" customFormat="1">
      <c r="A40" s="600"/>
      <c r="B40" s="600"/>
      <c r="C40" s="603"/>
      <c r="D40" s="30" t="s">
        <v>56</v>
      </c>
      <c r="E40" s="181">
        <v>0</v>
      </c>
      <c r="F40" s="181">
        <v>0</v>
      </c>
      <c r="G40" s="352">
        <v>0</v>
      </c>
      <c r="H40" s="132">
        <v>0</v>
      </c>
      <c r="I40" s="132">
        <v>0</v>
      </c>
      <c r="J40" s="132">
        <v>0</v>
      </c>
      <c r="K40" s="132">
        <v>0</v>
      </c>
      <c r="L40" s="132">
        <v>0</v>
      </c>
      <c r="M40" s="132">
        <v>0</v>
      </c>
    </row>
    <row r="41" spans="1:15" s="11" customFormat="1" ht="30">
      <c r="A41" s="600"/>
      <c r="B41" s="600"/>
      <c r="C41" s="603"/>
      <c r="D41" s="30" t="s">
        <v>241</v>
      </c>
      <c r="E41" s="181">
        <v>0</v>
      </c>
      <c r="F41" s="181">
        <v>0</v>
      </c>
      <c r="G41" s="352">
        <v>0</v>
      </c>
      <c r="H41" s="132">
        <v>0</v>
      </c>
      <c r="I41" s="132">
        <v>0</v>
      </c>
      <c r="J41" s="132">
        <v>0</v>
      </c>
      <c r="K41" s="132">
        <v>0</v>
      </c>
      <c r="L41" s="132">
        <v>0</v>
      </c>
      <c r="M41" s="132">
        <v>0</v>
      </c>
    </row>
    <row r="42" spans="1:15" s="11" customFormat="1" ht="30">
      <c r="A42" s="600"/>
      <c r="B42" s="600"/>
      <c r="C42" s="603"/>
      <c r="D42" s="30" t="s">
        <v>57</v>
      </c>
      <c r="E42" s="181">
        <v>0</v>
      </c>
      <c r="F42" s="181">
        <v>0</v>
      </c>
      <c r="G42" s="352">
        <v>0</v>
      </c>
      <c r="H42" s="132">
        <v>0</v>
      </c>
      <c r="I42" s="132">
        <v>0</v>
      </c>
      <c r="J42" s="132">
        <v>0</v>
      </c>
      <c r="K42" s="132">
        <v>11620.5</v>
      </c>
      <c r="L42" s="132">
        <v>0</v>
      </c>
      <c r="M42" s="132">
        <v>0</v>
      </c>
    </row>
    <row r="43" spans="1:15" s="11" customFormat="1" ht="45">
      <c r="A43" s="600"/>
      <c r="B43" s="600"/>
      <c r="C43" s="603"/>
      <c r="D43" s="30" t="s">
        <v>58</v>
      </c>
      <c r="E43" s="181">
        <v>0</v>
      </c>
      <c r="F43" s="181">
        <v>0</v>
      </c>
      <c r="G43" s="352">
        <v>0</v>
      </c>
      <c r="H43" s="132">
        <v>0</v>
      </c>
      <c r="I43" s="132">
        <v>0</v>
      </c>
      <c r="J43" s="132">
        <v>0</v>
      </c>
      <c r="K43" s="132">
        <v>0</v>
      </c>
      <c r="L43" s="132">
        <v>0</v>
      </c>
      <c r="M43" s="132">
        <v>0</v>
      </c>
    </row>
    <row r="44" spans="1:15" s="11" customFormat="1" ht="30">
      <c r="A44" s="600"/>
      <c r="B44" s="600"/>
      <c r="C44" s="603"/>
      <c r="D44" s="30" t="s">
        <v>476</v>
      </c>
      <c r="E44" s="181">
        <v>0</v>
      </c>
      <c r="F44" s="181">
        <v>0</v>
      </c>
      <c r="G44" s="352">
        <v>0</v>
      </c>
      <c r="H44" s="132">
        <v>0</v>
      </c>
      <c r="I44" s="132">
        <v>0</v>
      </c>
      <c r="J44" s="132">
        <v>0</v>
      </c>
      <c r="K44" s="132">
        <v>0</v>
      </c>
      <c r="L44" s="132">
        <v>0</v>
      </c>
      <c r="M44" s="132">
        <v>0</v>
      </c>
    </row>
    <row r="45" spans="1:15" s="11" customFormat="1">
      <c r="A45" s="601"/>
      <c r="B45" s="601"/>
      <c r="C45" s="604"/>
      <c r="D45" s="30" t="s">
        <v>59</v>
      </c>
      <c r="E45" s="181">
        <v>0</v>
      </c>
      <c r="F45" s="181">
        <v>0</v>
      </c>
      <c r="G45" s="352">
        <v>0</v>
      </c>
      <c r="H45" s="132">
        <v>0</v>
      </c>
      <c r="I45" s="132">
        <v>0</v>
      </c>
      <c r="J45" s="132">
        <v>0</v>
      </c>
      <c r="K45" s="132">
        <v>0</v>
      </c>
      <c r="L45" s="132">
        <v>0</v>
      </c>
      <c r="M45" s="132">
        <v>0</v>
      </c>
    </row>
    <row r="46" spans="1:15" ht="15" customHeight="1">
      <c r="A46" s="605" t="s">
        <v>83</v>
      </c>
      <c r="B46" s="605" t="s">
        <v>177</v>
      </c>
      <c r="C46" s="598" t="s">
        <v>349</v>
      </c>
      <c r="D46" s="30" t="s">
        <v>50</v>
      </c>
      <c r="E46" s="181">
        <v>0</v>
      </c>
      <c r="F46" s="181">
        <f>F47+F48</f>
        <v>869.9</v>
      </c>
      <c r="G46" s="352">
        <f t="shared" ref="G46:M46" si="8">G47+G51</f>
        <v>800</v>
      </c>
      <c r="H46" s="132">
        <f t="shared" si="8"/>
        <v>0</v>
      </c>
      <c r="I46" s="132">
        <f t="shared" si="8"/>
        <v>0</v>
      </c>
      <c r="J46" s="132">
        <f t="shared" si="8"/>
        <v>0</v>
      </c>
      <c r="K46" s="132">
        <f t="shared" si="8"/>
        <v>0</v>
      </c>
      <c r="L46" s="132">
        <f t="shared" si="8"/>
        <v>0</v>
      </c>
      <c r="M46" s="132">
        <f t="shared" si="8"/>
        <v>0</v>
      </c>
    </row>
    <row r="47" spans="1:15" ht="30">
      <c r="A47" s="606"/>
      <c r="B47" s="606"/>
      <c r="C47" s="598"/>
      <c r="D47" s="30" t="s">
        <v>80</v>
      </c>
      <c r="E47" s="181">
        <v>0</v>
      </c>
      <c r="F47" s="181">
        <v>869.9</v>
      </c>
      <c r="G47" s="352">
        <v>800</v>
      </c>
      <c r="H47" s="132">
        <v>0</v>
      </c>
      <c r="I47" s="132">
        <v>0</v>
      </c>
      <c r="J47" s="132">
        <f>'Приложение 5'!Q57</f>
        <v>0</v>
      </c>
      <c r="K47" s="132">
        <f>'Приложение 5'!R57</f>
        <v>0</v>
      </c>
      <c r="L47" s="132">
        <f>'Приложение 5'!S57</f>
        <v>0</v>
      </c>
      <c r="M47" s="132">
        <f>'Приложение 5'!T57</f>
        <v>0</v>
      </c>
    </row>
    <row r="48" spans="1:15">
      <c r="A48" s="606"/>
      <c r="B48" s="606"/>
      <c r="C48" s="598"/>
      <c r="D48" s="30" t="s">
        <v>81</v>
      </c>
      <c r="E48" s="181">
        <v>0</v>
      </c>
      <c r="F48" s="181">
        <v>0</v>
      </c>
      <c r="G48" s="352">
        <v>0</v>
      </c>
      <c r="H48" s="132">
        <v>0</v>
      </c>
      <c r="I48" s="132">
        <v>0</v>
      </c>
      <c r="J48" s="132">
        <v>0</v>
      </c>
      <c r="K48" s="132">
        <v>0</v>
      </c>
      <c r="L48" s="132">
        <v>0</v>
      </c>
      <c r="M48" s="132">
        <v>0</v>
      </c>
    </row>
    <row r="49" spans="1:13">
      <c r="A49" s="606"/>
      <c r="B49" s="606"/>
      <c r="C49" s="598"/>
      <c r="D49" s="30" t="s">
        <v>56</v>
      </c>
      <c r="E49" s="181">
        <v>0</v>
      </c>
      <c r="F49" s="181">
        <v>0</v>
      </c>
      <c r="G49" s="352">
        <v>0</v>
      </c>
      <c r="H49" s="132">
        <v>0</v>
      </c>
      <c r="I49" s="132">
        <v>0</v>
      </c>
      <c r="J49" s="132">
        <v>0</v>
      </c>
      <c r="K49" s="132">
        <v>0</v>
      </c>
      <c r="L49" s="132">
        <v>0</v>
      </c>
      <c r="M49" s="132">
        <v>0</v>
      </c>
    </row>
    <row r="50" spans="1:13" ht="30">
      <c r="A50" s="606"/>
      <c r="B50" s="606"/>
      <c r="C50" s="598"/>
      <c r="D50" s="30" t="s">
        <v>241</v>
      </c>
      <c r="E50" s="181">
        <v>0</v>
      </c>
      <c r="F50" s="181">
        <v>0</v>
      </c>
      <c r="G50" s="352">
        <v>0</v>
      </c>
      <c r="H50" s="132">
        <v>0</v>
      </c>
      <c r="I50" s="132">
        <v>0</v>
      </c>
      <c r="J50" s="132">
        <v>0</v>
      </c>
      <c r="K50" s="132">
        <v>0</v>
      </c>
      <c r="L50" s="132">
        <v>0</v>
      </c>
      <c r="M50" s="132">
        <v>0</v>
      </c>
    </row>
    <row r="51" spans="1:13" ht="30">
      <c r="A51" s="606"/>
      <c r="B51" s="606"/>
      <c r="C51" s="598"/>
      <c r="D51" s="30" t="s">
        <v>57</v>
      </c>
      <c r="E51" s="181">
        <v>0</v>
      </c>
      <c r="F51" s="181">
        <v>0</v>
      </c>
      <c r="G51" s="182">
        <v>0</v>
      </c>
      <c r="H51" s="132">
        <v>0</v>
      </c>
      <c r="I51" s="132">
        <v>0</v>
      </c>
      <c r="J51" s="132">
        <v>0</v>
      </c>
      <c r="K51" s="132">
        <v>0</v>
      </c>
      <c r="L51" s="132">
        <v>0</v>
      </c>
      <c r="M51" s="132">
        <v>0</v>
      </c>
    </row>
    <row r="52" spans="1:13" ht="45">
      <c r="A52" s="606"/>
      <c r="B52" s="606"/>
      <c r="C52" s="598"/>
      <c r="D52" s="30" t="s">
        <v>58</v>
      </c>
      <c r="E52" s="181">
        <v>0</v>
      </c>
      <c r="F52" s="181">
        <v>0</v>
      </c>
      <c r="G52" s="352">
        <v>0</v>
      </c>
      <c r="H52" s="132">
        <v>0</v>
      </c>
      <c r="I52" s="132">
        <v>0</v>
      </c>
      <c r="J52" s="132">
        <v>0</v>
      </c>
      <c r="K52" s="132">
        <v>0</v>
      </c>
      <c r="L52" s="132">
        <v>0</v>
      </c>
      <c r="M52" s="132">
        <v>0</v>
      </c>
    </row>
    <row r="53" spans="1:13" ht="30">
      <c r="A53" s="606"/>
      <c r="B53" s="606"/>
      <c r="C53" s="598"/>
      <c r="D53" s="30" t="s">
        <v>476</v>
      </c>
      <c r="E53" s="181">
        <v>0</v>
      </c>
      <c r="F53" s="181">
        <v>0</v>
      </c>
      <c r="G53" s="352">
        <v>0</v>
      </c>
      <c r="H53" s="132">
        <v>0</v>
      </c>
      <c r="I53" s="132">
        <v>0</v>
      </c>
      <c r="J53" s="132">
        <v>0</v>
      </c>
      <c r="K53" s="132">
        <v>0</v>
      </c>
      <c r="L53" s="132">
        <v>0</v>
      </c>
      <c r="M53" s="132">
        <v>0</v>
      </c>
    </row>
    <row r="54" spans="1:13">
      <c r="A54" s="607"/>
      <c r="B54" s="607"/>
      <c r="C54" s="598"/>
      <c r="D54" s="30" t="s">
        <v>59</v>
      </c>
      <c r="E54" s="181">
        <v>0</v>
      </c>
      <c r="F54" s="181">
        <v>0</v>
      </c>
      <c r="G54" s="352">
        <v>0</v>
      </c>
      <c r="H54" s="132">
        <v>0</v>
      </c>
      <c r="I54" s="132">
        <v>0</v>
      </c>
      <c r="J54" s="132">
        <v>0</v>
      </c>
      <c r="K54" s="132">
        <v>0</v>
      </c>
      <c r="L54" s="132">
        <v>0</v>
      </c>
      <c r="M54" s="132">
        <v>0</v>
      </c>
    </row>
    <row r="55" spans="1:13" ht="18.75">
      <c r="A55" s="65"/>
      <c r="B55" s="65"/>
      <c r="C55" s="66"/>
      <c r="D55" s="66"/>
      <c r="M55" s="273" t="s">
        <v>443</v>
      </c>
    </row>
    <row r="56" spans="1:13">
      <c r="A56" s="65"/>
      <c r="B56" s="65"/>
      <c r="C56" s="66"/>
      <c r="D56" s="66"/>
      <c r="E56" s="75" t="s">
        <v>454</v>
      </c>
    </row>
    <row r="57" spans="1:13">
      <c r="A57" s="65"/>
      <c r="B57" s="65"/>
      <c r="C57" s="66"/>
      <c r="D57" s="66"/>
    </row>
    <row r="58" spans="1:13">
      <c r="A58" s="65"/>
      <c r="B58" s="65"/>
      <c r="C58" s="66"/>
      <c r="D58" s="66"/>
    </row>
    <row r="59" spans="1:13">
      <c r="A59" s="65"/>
      <c r="B59" s="65"/>
      <c r="C59" s="66"/>
      <c r="D59" s="66"/>
    </row>
    <row r="60" spans="1:13">
      <c r="A60" s="65"/>
      <c r="B60" s="65"/>
      <c r="C60" s="66"/>
      <c r="D60" s="66"/>
    </row>
    <row r="61" spans="1:13">
      <c r="A61" s="65"/>
      <c r="B61" s="65"/>
      <c r="C61" s="66"/>
      <c r="D61" s="66"/>
    </row>
    <row r="62" spans="1:13">
      <c r="A62" s="65"/>
      <c r="B62" s="65"/>
      <c r="C62" s="66"/>
      <c r="D62" s="66"/>
    </row>
    <row r="63" spans="1:13">
      <c r="A63" s="65"/>
      <c r="B63" s="65"/>
      <c r="C63" s="66"/>
      <c r="D63" s="66"/>
    </row>
    <row r="64" spans="1:13">
      <c r="A64" s="65"/>
      <c r="B64" s="65"/>
      <c r="C64" s="66"/>
      <c r="D64" s="66"/>
    </row>
    <row r="65" spans="1:4">
      <c r="A65" s="65"/>
      <c r="B65" s="65"/>
      <c r="C65" s="66"/>
      <c r="D65" s="66"/>
    </row>
    <row r="66" spans="1:4">
      <c r="A66" s="65"/>
      <c r="B66" s="65"/>
      <c r="C66" s="66"/>
      <c r="D66" s="66"/>
    </row>
    <row r="67" spans="1:4">
      <c r="A67" s="65"/>
      <c r="B67" s="65"/>
      <c r="C67" s="66"/>
      <c r="D67" s="66"/>
    </row>
    <row r="68" spans="1:4">
      <c r="A68" s="65"/>
      <c r="B68" s="65"/>
      <c r="C68" s="66"/>
      <c r="D68" s="66"/>
    </row>
    <row r="69" spans="1:4">
      <c r="A69" s="65"/>
      <c r="B69" s="65"/>
      <c r="C69" s="66"/>
      <c r="D69" s="66"/>
    </row>
    <row r="70" spans="1:4">
      <c r="A70" s="65"/>
      <c r="B70" s="65"/>
      <c r="C70" s="66"/>
      <c r="D70" s="66"/>
    </row>
    <row r="71" spans="1:4">
      <c r="A71" s="65"/>
      <c r="B71" s="65"/>
      <c r="C71" s="66"/>
      <c r="D71" s="66"/>
    </row>
    <row r="72" spans="1:4">
      <c r="A72" s="65"/>
      <c r="B72" s="65"/>
      <c r="C72" s="66"/>
      <c r="D72" s="66"/>
    </row>
    <row r="73" spans="1:4">
      <c r="A73" s="65"/>
      <c r="B73" s="65"/>
      <c r="C73" s="66"/>
      <c r="D73" s="66"/>
    </row>
    <row r="74" spans="1:4">
      <c r="A74" s="65"/>
      <c r="B74" s="65"/>
      <c r="C74" s="66"/>
      <c r="D74" s="66"/>
    </row>
    <row r="75" spans="1:4">
      <c r="A75" s="65"/>
      <c r="B75" s="65"/>
      <c r="C75" s="66"/>
      <c r="D75" s="66"/>
    </row>
    <row r="76" spans="1:4">
      <c r="A76" s="65"/>
      <c r="B76" s="65"/>
      <c r="C76" s="66"/>
      <c r="D76" s="66"/>
    </row>
    <row r="77" spans="1:4">
      <c r="A77" s="65"/>
      <c r="B77" s="65"/>
      <c r="C77" s="66"/>
      <c r="D77" s="66"/>
    </row>
    <row r="78" spans="1:4">
      <c r="A78" s="65"/>
      <c r="B78" s="65"/>
      <c r="C78" s="66"/>
      <c r="D78" s="66"/>
    </row>
    <row r="79" spans="1:4">
      <c r="A79" s="65"/>
      <c r="B79" s="65"/>
      <c r="C79" s="66"/>
      <c r="D79" s="66"/>
    </row>
    <row r="80" spans="1:4">
      <c r="A80" s="65"/>
      <c r="B80" s="65"/>
      <c r="C80" s="66"/>
      <c r="D80" s="66"/>
    </row>
    <row r="81" spans="1:4">
      <c r="A81" s="65"/>
      <c r="B81" s="65"/>
      <c r="C81" s="66"/>
      <c r="D81" s="66"/>
    </row>
    <row r="82" spans="1:4">
      <c r="A82" s="65"/>
      <c r="B82" s="65"/>
      <c r="C82" s="66"/>
      <c r="D82" s="66"/>
    </row>
    <row r="83" spans="1:4">
      <c r="A83" s="65"/>
      <c r="B83" s="65"/>
      <c r="C83" s="66"/>
      <c r="D83" s="66"/>
    </row>
    <row r="84" spans="1:4">
      <c r="A84" s="65"/>
      <c r="B84" s="65"/>
      <c r="C84" s="66"/>
      <c r="D84" s="66"/>
    </row>
    <row r="85" spans="1:4">
      <c r="A85" s="65"/>
      <c r="B85" s="65"/>
      <c r="C85" s="66"/>
      <c r="D85" s="66"/>
    </row>
    <row r="86" spans="1:4">
      <c r="A86" s="65"/>
      <c r="B86" s="65"/>
      <c r="C86" s="66"/>
      <c r="D86" s="66"/>
    </row>
    <row r="87" spans="1:4">
      <c r="A87" s="65"/>
      <c r="B87" s="65"/>
      <c r="C87" s="66"/>
      <c r="D87" s="66"/>
    </row>
    <row r="88" spans="1:4">
      <c r="A88" s="65"/>
      <c r="B88" s="65"/>
      <c r="C88" s="66"/>
      <c r="D88" s="66"/>
    </row>
    <row r="89" spans="1:4">
      <c r="A89" s="65"/>
      <c r="B89" s="65"/>
      <c r="C89" s="66"/>
      <c r="D89" s="66"/>
    </row>
    <row r="90" spans="1:4">
      <c r="A90" s="65"/>
      <c r="B90" s="65"/>
      <c r="C90" s="66"/>
      <c r="D90" s="66"/>
    </row>
    <row r="91" spans="1:4">
      <c r="A91" s="65"/>
      <c r="B91" s="65"/>
      <c r="C91" s="66"/>
      <c r="D91" s="66"/>
    </row>
    <row r="92" spans="1:4">
      <c r="A92" s="65"/>
      <c r="B92" s="65"/>
      <c r="C92" s="66"/>
      <c r="D92" s="66"/>
    </row>
    <row r="93" spans="1:4">
      <c r="A93" s="65"/>
      <c r="B93" s="65"/>
      <c r="C93" s="66"/>
      <c r="D93" s="66"/>
    </row>
    <row r="94" spans="1:4">
      <c r="A94" s="65"/>
      <c r="B94" s="65"/>
      <c r="C94" s="66"/>
      <c r="D94" s="66"/>
    </row>
    <row r="95" spans="1:4">
      <c r="A95" s="65"/>
      <c r="B95" s="65"/>
      <c r="C95" s="66"/>
      <c r="D95" s="66"/>
    </row>
    <row r="96" spans="1:4">
      <c r="A96" s="65"/>
      <c r="B96" s="65"/>
      <c r="C96" s="66"/>
      <c r="D96" s="66"/>
    </row>
    <row r="97" spans="1:4">
      <c r="A97" s="65"/>
      <c r="B97" s="65"/>
      <c r="C97" s="66"/>
      <c r="D97" s="66"/>
    </row>
    <row r="98" spans="1:4">
      <c r="A98" s="65"/>
      <c r="B98" s="65"/>
      <c r="C98" s="66"/>
      <c r="D98" s="66"/>
    </row>
    <row r="99" spans="1:4">
      <c r="A99" s="65"/>
      <c r="B99" s="65"/>
      <c r="C99" s="66"/>
      <c r="D99" s="66"/>
    </row>
    <row r="100" spans="1:4">
      <c r="A100" s="65"/>
      <c r="B100" s="65"/>
      <c r="C100" s="66"/>
      <c r="D100" s="66"/>
    </row>
    <row r="101" spans="1:4">
      <c r="A101" s="65"/>
      <c r="B101" s="65"/>
      <c r="C101" s="66"/>
      <c r="D101" s="66"/>
    </row>
    <row r="102" spans="1:4">
      <c r="A102" s="65"/>
      <c r="B102" s="65"/>
      <c r="C102" s="66"/>
      <c r="D102" s="66"/>
    </row>
    <row r="103" spans="1:4">
      <c r="A103" s="65"/>
      <c r="B103" s="65"/>
      <c r="C103" s="66"/>
      <c r="D103" s="66"/>
    </row>
    <row r="104" spans="1:4">
      <c r="A104" s="65"/>
      <c r="B104" s="65"/>
      <c r="C104" s="66"/>
      <c r="D104" s="66"/>
    </row>
    <row r="105" spans="1:4">
      <c r="A105" s="65"/>
      <c r="B105" s="65"/>
      <c r="C105" s="66"/>
      <c r="D105" s="66"/>
    </row>
    <row r="106" spans="1:4">
      <c r="A106" s="65"/>
      <c r="B106" s="65"/>
      <c r="C106" s="66"/>
      <c r="D106" s="66"/>
    </row>
    <row r="107" spans="1:4">
      <c r="A107" s="65"/>
      <c r="B107" s="65"/>
      <c r="C107" s="66"/>
      <c r="D107" s="66"/>
    </row>
    <row r="108" spans="1:4">
      <c r="A108" s="65"/>
      <c r="B108" s="65"/>
      <c r="C108" s="66"/>
      <c r="D108" s="66"/>
    </row>
    <row r="109" spans="1:4">
      <c r="A109" s="65"/>
      <c r="B109" s="65"/>
      <c r="C109" s="66"/>
      <c r="D109" s="66"/>
    </row>
    <row r="110" spans="1:4">
      <c r="A110" s="65"/>
      <c r="B110" s="65"/>
      <c r="C110" s="66"/>
      <c r="D110" s="66"/>
    </row>
    <row r="111" spans="1:4">
      <c r="A111" s="65"/>
      <c r="B111" s="65"/>
      <c r="C111" s="66"/>
      <c r="D111" s="66"/>
    </row>
    <row r="112" spans="1:4">
      <c r="A112" s="65"/>
      <c r="B112" s="65"/>
      <c r="C112" s="66"/>
      <c r="D112" s="66"/>
    </row>
    <row r="113" spans="1:4">
      <c r="A113" s="65"/>
      <c r="B113" s="65"/>
      <c r="C113" s="66"/>
      <c r="D113" s="66"/>
    </row>
    <row r="114" spans="1:4">
      <c r="A114" s="65"/>
      <c r="B114" s="65"/>
      <c r="C114" s="66"/>
      <c r="D114" s="66"/>
    </row>
    <row r="115" spans="1:4">
      <c r="A115" s="65"/>
      <c r="B115" s="65"/>
      <c r="C115" s="66"/>
      <c r="D115" s="66"/>
    </row>
    <row r="116" spans="1:4">
      <c r="A116" s="65"/>
      <c r="B116" s="65"/>
      <c r="C116" s="66"/>
      <c r="D116" s="66"/>
    </row>
    <row r="117" spans="1:4">
      <c r="A117" s="65"/>
      <c r="B117" s="65"/>
      <c r="C117" s="66"/>
      <c r="D117" s="66"/>
    </row>
    <row r="118" spans="1:4">
      <c r="A118" s="65"/>
      <c r="B118" s="65"/>
      <c r="C118" s="66"/>
      <c r="D118" s="66"/>
    </row>
    <row r="119" spans="1:4">
      <c r="A119" s="65"/>
      <c r="B119" s="65"/>
      <c r="C119" s="66"/>
      <c r="D119" s="66"/>
    </row>
    <row r="120" spans="1:4">
      <c r="A120" s="65"/>
      <c r="B120" s="65"/>
      <c r="C120" s="66"/>
      <c r="D120" s="66"/>
    </row>
    <row r="121" spans="1:4">
      <c r="A121" s="65"/>
      <c r="B121" s="65"/>
      <c r="C121" s="66"/>
      <c r="D121" s="66"/>
    </row>
    <row r="122" spans="1:4">
      <c r="A122" s="65"/>
      <c r="B122" s="65"/>
      <c r="C122" s="67"/>
      <c r="D122" s="66"/>
    </row>
    <row r="123" spans="1:4">
      <c r="A123" s="65"/>
      <c r="B123" s="65"/>
      <c r="C123" s="67"/>
      <c r="D123" s="66"/>
    </row>
    <row r="124" spans="1:4">
      <c r="A124" s="65"/>
      <c r="B124" s="65"/>
      <c r="C124" s="67"/>
      <c r="D124" s="66"/>
    </row>
    <row r="125" spans="1:4">
      <c r="A125" s="65"/>
      <c r="B125" s="65"/>
      <c r="C125" s="67"/>
      <c r="D125" s="66"/>
    </row>
    <row r="126" spans="1:4">
      <c r="A126" s="65"/>
      <c r="B126" s="65"/>
      <c r="C126" s="67"/>
      <c r="D126" s="66"/>
    </row>
    <row r="127" spans="1:4">
      <c r="A127" s="65"/>
      <c r="B127" s="65"/>
      <c r="C127" s="67"/>
      <c r="D127" s="66"/>
    </row>
    <row r="128" spans="1:4">
      <c r="A128" s="65"/>
      <c r="B128" s="65"/>
      <c r="C128" s="67"/>
      <c r="D128" s="66"/>
    </row>
    <row r="129" spans="1:4">
      <c r="A129" s="65"/>
      <c r="B129" s="65"/>
      <c r="C129" s="67"/>
      <c r="D129" s="66"/>
    </row>
    <row r="130" spans="1:4">
      <c r="A130" s="65"/>
      <c r="B130" s="65"/>
      <c r="C130" s="67"/>
      <c r="D130" s="66"/>
    </row>
    <row r="131" spans="1:4">
      <c r="A131" s="65"/>
      <c r="B131" s="65"/>
      <c r="C131" s="67"/>
      <c r="D131" s="66"/>
    </row>
    <row r="132" spans="1:4">
      <c r="A132" s="65"/>
      <c r="B132" s="65"/>
      <c r="C132" s="67"/>
      <c r="D132" s="66"/>
    </row>
    <row r="133" spans="1:4">
      <c r="A133" s="65"/>
      <c r="B133" s="65"/>
      <c r="C133" s="67"/>
      <c r="D133" s="66"/>
    </row>
    <row r="134" spans="1:4">
      <c r="D134" s="68"/>
    </row>
    <row r="135" spans="1:4">
      <c r="D135" s="68"/>
    </row>
    <row r="136" spans="1:4">
      <c r="D136" s="68"/>
    </row>
    <row r="137" spans="1:4">
      <c r="D137" s="68"/>
    </row>
    <row r="138" spans="1:4">
      <c r="D138" s="68"/>
    </row>
    <row r="139" spans="1:4">
      <c r="D139" s="68"/>
    </row>
    <row r="140" spans="1:4">
      <c r="D140" s="68"/>
    </row>
    <row r="141" spans="1:4">
      <c r="D141" s="68"/>
    </row>
    <row r="142" spans="1:4">
      <c r="D142" s="68"/>
    </row>
    <row r="143" spans="1:4">
      <c r="D143" s="68"/>
    </row>
    <row r="144" spans="1:4">
      <c r="D144" s="68"/>
    </row>
    <row r="145" spans="4:4">
      <c r="D145" s="68"/>
    </row>
    <row r="146" spans="4:4">
      <c r="D146" s="68"/>
    </row>
    <row r="147" spans="4:4">
      <c r="D147" s="68"/>
    </row>
    <row r="148" spans="4:4">
      <c r="D148" s="68"/>
    </row>
    <row r="149" spans="4:4">
      <c r="D149" s="68"/>
    </row>
    <row r="150" spans="4:4">
      <c r="D150" s="68"/>
    </row>
    <row r="151" spans="4:4">
      <c r="D151" s="68"/>
    </row>
    <row r="152" spans="4:4">
      <c r="D152" s="68"/>
    </row>
    <row r="153" spans="4:4">
      <c r="D153" s="68"/>
    </row>
    <row r="154" spans="4:4">
      <c r="D154" s="68"/>
    </row>
    <row r="155" spans="4:4">
      <c r="D155" s="68"/>
    </row>
    <row r="156" spans="4:4">
      <c r="D156" s="68"/>
    </row>
    <row r="157" spans="4:4">
      <c r="D157" s="68"/>
    </row>
    <row r="158" spans="4:4">
      <c r="D158" s="68"/>
    </row>
    <row r="159" spans="4:4">
      <c r="D159" s="68"/>
    </row>
    <row r="160" spans="4:4">
      <c r="D160" s="68"/>
    </row>
    <row r="161" spans="4:4">
      <c r="D161" s="68"/>
    </row>
    <row r="162" spans="4:4">
      <c r="D162" s="68"/>
    </row>
    <row r="163" spans="4:4">
      <c r="D163" s="68"/>
    </row>
    <row r="164" spans="4:4">
      <c r="D164" s="68"/>
    </row>
    <row r="165" spans="4:4">
      <c r="D165" s="68"/>
    </row>
    <row r="166" spans="4:4">
      <c r="D166" s="68"/>
    </row>
    <row r="167" spans="4:4">
      <c r="D167" s="68"/>
    </row>
    <row r="168" spans="4:4">
      <c r="D168" s="68"/>
    </row>
    <row r="169" spans="4:4">
      <c r="D169" s="68"/>
    </row>
    <row r="170" spans="4:4">
      <c r="D170" s="68"/>
    </row>
    <row r="171" spans="4:4">
      <c r="D171" s="68"/>
    </row>
    <row r="172" spans="4:4">
      <c r="D172" s="68"/>
    </row>
    <row r="173" spans="4:4">
      <c r="D173" s="68"/>
    </row>
    <row r="174" spans="4:4">
      <c r="D174" s="68"/>
    </row>
    <row r="175" spans="4:4">
      <c r="D175" s="68"/>
    </row>
    <row r="176" spans="4:4">
      <c r="D176" s="68"/>
    </row>
    <row r="177" spans="4:4">
      <c r="D177" s="68"/>
    </row>
    <row r="178" spans="4:4">
      <c r="D178" s="68"/>
    </row>
    <row r="179" spans="4:4">
      <c r="D179" s="68"/>
    </row>
    <row r="180" spans="4:4">
      <c r="D180" s="68"/>
    </row>
    <row r="181" spans="4:4">
      <c r="D181" s="68"/>
    </row>
    <row r="182" spans="4:4">
      <c r="D182" s="68"/>
    </row>
    <row r="183" spans="4:4">
      <c r="D183" s="68"/>
    </row>
    <row r="184" spans="4:4">
      <c r="D184" s="68"/>
    </row>
    <row r="185" spans="4:4">
      <c r="D185" s="68"/>
    </row>
    <row r="186" spans="4:4">
      <c r="D186" s="68"/>
    </row>
    <row r="187" spans="4:4">
      <c r="D187" s="68"/>
    </row>
    <row r="188" spans="4:4">
      <c r="D188" s="68"/>
    </row>
    <row r="189" spans="4:4">
      <c r="D189" s="68"/>
    </row>
    <row r="190" spans="4:4">
      <c r="D190" s="68"/>
    </row>
    <row r="191" spans="4:4">
      <c r="D191" s="68"/>
    </row>
    <row r="192" spans="4:4">
      <c r="D192" s="68"/>
    </row>
    <row r="193" spans="4:4">
      <c r="D193" s="68"/>
    </row>
    <row r="194" spans="4:4">
      <c r="D194" s="68"/>
    </row>
    <row r="195" spans="4:4">
      <c r="D195" s="68"/>
    </row>
    <row r="196" spans="4:4">
      <c r="D196" s="68"/>
    </row>
    <row r="197" spans="4:4">
      <c r="D197" s="68"/>
    </row>
  </sheetData>
  <mergeCells count="21">
    <mergeCell ref="A17:B17"/>
    <mergeCell ref="C17:C18"/>
    <mergeCell ref="D17:D18"/>
    <mergeCell ref="E17:M17"/>
    <mergeCell ref="C46:C54"/>
    <mergeCell ref="A37:A45"/>
    <mergeCell ref="B37:B45"/>
    <mergeCell ref="C37:C45"/>
    <mergeCell ref="A19:A27"/>
    <mergeCell ref="B19:B27"/>
    <mergeCell ref="C19:C27"/>
    <mergeCell ref="A28:A36"/>
    <mergeCell ref="B28:B36"/>
    <mergeCell ref="C28:C36"/>
    <mergeCell ref="B46:B54"/>
    <mergeCell ref="A46:A54"/>
    <mergeCell ref="A10:M10"/>
    <mergeCell ref="A12:C12"/>
    <mergeCell ref="D12:E12"/>
    <mergeCell ref="A13:C13"/>
    <mergeCell ref="A14:C14"/>
  </mergeCells>
  <pageMargins left="0.35433070866141736" right="0.35433070866141736" top="0.39370078740157483" bottom="0.23622047244094491" header="0.19685039370078741" footer="0.15748031496062992"/>
  <pageSetup paperSize="9" scale="71" fitToHeight="3" orientation="landscape" r:id="rId1"/>
  <headerFooter differentFirst="1">
    <oddHeader>&amp;C&amp;P</oddHeader>
  </headerFooter>
  <rowBreaks count="1" manualBreakCount="1">
    <brk id="36" max="12" man="1"/>
  </rowBreaks>
</worksheet>
</file>

<file path=xl/worksheets/sheet7.xml><?xml version="1.0" encoding="utf-8"?>
<worksheet xmlns="http://schemas.openxmlformats.org/spreadsheetml/2006/main" xmlns:r="http://schemas.openxmlformats.org/officeDocument/2006/relationships">
  <dimension ref="A1:R686"/>
  <sheetViews>
    <sheetView view="pageBreakPreview" topLeftCell="A546" zoomScaleNormal="115" zoomScaleSheetLayoutView="100" zoomScalePageLayoutView="110" workbookViewId="0">
      <selection activeCell="I350" sqref="I350"/>
    </sheetView>
  </sheetViews>
  <sheetFormatPr defaultRowHeight="15"/>
  <cols>
    <col min="1" max="1" width="4.42578125" style="191" customWidth="1"/>
    <col min="2" max="2" width="4.85546875" style="191" customWidth="1"/>
    <col min="3" max="3" width="6" style="191" customWidth="1"/>
    <col min="4" max="4" width="4.140625" style="191" customWidth="1"/>
    <col min="5" max="5" width="27" style="44" customWidth="1"/>
    <col min="6" max="6" width="30.85546875" style="44" customWidth="1"/>
    <col min="7" max="7" width="16.28515625" style="163" customWidth="1"/>
    <col min="8" max="8" width="16.28515625" style="164" customWidth="1"/>
    <col min="9" max="9" width="11.42578125" style="218" customWidth="1"/>
    <col min="10" max="10" width="10.28515625" style="302" customWidth="1"/>
    <col min="11" max="13" width="11.85546875" style="165" bestFit="1" customWidth="1"/>
    <col min="14" max="14" width="11.140625" style="44" customWidth="1"/>
    <col min="15" max="15" width="11.7109375" style="44" bestFit="1" customWidth="1"/>
    <col min="16" max="16" width="9.140625" style="44"/>
    <col min="17" max="17" width="13" style="44" customWidth="1"/>
    <col min="18" max="16384" width="9.140625" style="44"/>
  </cols>
  <sheetData>
    <row r="1" spans="1:17" ht="18.75">
      <c r="M1" s="447" t="s">
        <v>178</v>
      </c>
    </row>
    <row r="2" spans="1:17" ht="18.75">
      <c r="M2" s="447" t="s">
        <v>431</v>
      </c>
    </row>
    <row r="3" spans="1:17" ht="18.75">
      <c r="M3" s="280" t="s">
        <v>432</v>
      </c>
    </row>
    <row r="4" spans="1:17" ht="18.75">
      <c r="M4" s="280" t="s">
        <v>617</v>
      </c>
    </row>
    <row r="6" spans="1:17" ht="18.75">
      <c r="J6" s="303"/>
      <c r="K6" s="299"/>
      <c r="L6" s="299"/>
      <c r="M6" s="453" t="s">
        <v>455</v>
      </c>
    </row>
    <row r="7" spans="1:17" ht="18.75">
      <c r="J7" s="303"/>
      <c r="K7" s="299"/>
      <c r="L7" s="299"/>
      <c r="M7" s="453" t="s">
        <v>172</v>
      </c>
    </row>
    <row r="8" spans="1:17" ht="18.75">
      <c r="J8" s="303"/>
      <c r="K8" s="299"/>
      <c r="L8" s="299"/>
      <c r="M8" s="453" t="s">
        <v>173</v>
      </c>
    </row>
    <row r="9" spans="1:17" ht="18.75">
      <c r="J9" s="303"/>
      <c r="K9" s="299"/>
      <c r="L9" s="299"/>
      <c r="M9" s="453"/>
    </row>
    <row r="10" spans="1:17" ht="15.75">
      <c r="G10" s="638" t="s">
        <v>457</v>
      </c>
      <c r="H10" s="638"/>
      <c r="K10" s="300"/>
      <c r="L10" s="300"/>
    </row>
    <row r="11" spans="1:17" ht="15.75">
      <c r="D11" s="640" t="s">
        <v>456</v>
      </c>
      <c r="E11" s="640"/>
      <c r="F11" s="640"/>
      <c r="G11" s="640"/>
      <c r="H11" s="640"/>
      <c r="I11" s="640"/>
      <c r="J11" s="640"/>
      <c r="K11" s="640"/>
      <c r="L11" s="640"/>
      <c r="M11" s="640"/>
    </row>
    <row r="12" spans="1:17">
      <c r="D12" s="166"/>
    </row>
    <row r="13" spans="1:17" ht="15" customHeight="1">
      <c r="A13" s="643" t="s">
        <v>4</v>
      </c>
      <c r="B13" s="644"/>
      <c r="C13" s="644"/>
      <c r="D13" s="645"/>
      <c r="E13" s="641" t="s">
        <v>117</v>
      </c>
      <c r="F13" s="641" t="s">
        <v>118</v>
      </c>
      <c r="G13" s="639" t="s">
        <v>171</v>
      </c>
      <c r="H13" s="639"/>
      <c r="I13" s="639"/>
      <c r="J13" s="639"/>
      <c r="K13" s="639"/>
      <c r="L13" s="639"/>
      <c r="M13" s="639"/>
      <c r="N13" s="639"/>
      <c r="O13" s="639"/>
      <c r="P13" s="639"/>
    </row>
    <row r="14" spans="1:17">
      <c r="A14" s="8" t="s">
        <v>9</v>
      </c>
      <c r="B14" s="8" t="s">
        <v>10</v>
      </c>
      <c r="C14" s="8" t="s">
        <v>25</v>
      </c>
      <c r="D14" s="183" t="s">
        <v>26</v>
      </c>
      <c r="E14" s="642"/>
      <c r="F14" s="642"/>
      <c r="G14" s="338" t="s">
        <v>111</v>
      </c>
      <c r="H14" s="338" t="s">
        <v>135</v>
      </c>
      <c r="I14" s="219" t="s">
        <v>136</v>
      </c>
      <c r="J14" s="304" t="s">
        <v>137</v>
      </c>
      <c r="K14" s="343" t="s">
        <v>138</v>
      </c>
      <c r="L14" s="448" t="s">
        <v>84</v>
      </c>
      <c r="M14" s="448" t="s">
        <v>85</v>
      </c>
      <c r="N14" s="439" t="s">
        <v>360</v>
      </c>
      <c r="O14" s="439" t="s">
        <v>361</v>
      </c>
      <c r="P14" s="439" t="s">
        <v>362</v>
      </c>
    </row>
    <row r="15" spans="1:17">
      <c r="A15" s="608" t="s">
        <v>83</v>
      </c>
      <c r="B15" s="608"/>
      <c r="C15" s="608"/>
      <c r="D15" s="608"/>
      <c r="E15" s="629" t="s">
        <v>119</v>
      </c>
      <c r="F15" s="176" t="s">
        <v>120</v>
      </c>
      <c r="G15" s="177">
        <f>H15+I15+J15+K15+L15+M15+N15+O15+P15</f>
        <v>395484.29031826323</v>
      </c>
      <c r="H15" s="177">
        <f>H16+H17</f>
        <v>88771.286823000017</v>
      </c>
      <c r="I15" s="177">
        <f>I16+I17</f>
        <v>70526.441689999992</v>
      </c>
      <c r="J15" s="244">
        <f>J16+J17</f>
        <v>42404.5</v>
      </c>
      <c r="K15" s="177">
        <f t="shared" ref="K15:P15" si="0">K16+K17+K27+K28</f>
        <v>54108.495699999999</v>
      </c>
      <c r="L15" s="177">
        <f t="shared" si="0"/>
        <v>24576.3</v>
      </c>
      <c r="M15" s="177">
        <f t="shared" si="0"/>
        <v>24433.582105263158</v>
      </c>
      <c r="N15" s="177">
        <f t="shared" si="0"/>
        <v>39785.428</v>
      </c>
      <c r="O15" s="177">
        <f t="shared" si="0"/>
        <v>25439.128000000001</v>
      </c>
      <c r="P15" s="177">
        <f t="shared" si="0"/>
        <v>25439.128000000001</v>
      </c>
      <c r="Q15" s="441">
        <f>SUM(L15:N15)</f>
        <v>88795.310105263154</v>
      </c>
    </row>
    <row r="16" spans="1:17">
      <c r="A16" s="609"/>
      <c r="B16" s="609"/>
      <c r="C16" s="609"/>
      <c r="D16" s="609"/>
      <c r="E16" s="630"/>
      <c r="F16" s="176" t="s">
        <v>121</v>
      </c>
      <c r="G16" s="177">
        <f t="shared" ref="G16:G19" si="1">H16+I16+J16+K16+L16+M16+N16+O16+P16</f>
        <v>124239.99961526315</v>
      </c>
      <c r="H16" s="177">
        <f>SUBTOTAL(9,H43,H49,H55,H61,H67,H73,H80,H102,H108,H121,H128,H140,H152,H89,H158,H174)</f>
        <v>22221.399510000003</v>
      </c>
      <c r="I16" s="177">
        <f>SUBTOTAL(9,I43,I49,I55,I61,I67,I73,I80,I102,I108,I95,I121,I128,I140,I152,I89,I158,I389,I407,I415,I215,I174)</f>
        <v>19000.199999999997</v>
      </c>
      <c r="J16" s="244">
        <f>SUBTOTAL(9,J43,J49,J55,J61,J67,J73,J80,J102,J108,J95,J121,J128,J140,J152,J89,J158,J199,J207,J215,J223,J232,J240,J250,J258,J266,J275,J283,J291,J299,J307,J315,J324,J332,J340,J348,J357,J365,J373,J381,J389,J399,J407,J415,J423,J439,J447,J455)</f>
        <v>9134.2000000000007</v>
      </c>
      <c r="K16" s="244">
        <f>SUBTOTAL(9,K43,K49,K55,K61,K67,K73,K80,K102,K108,K95,K121,K128,K140,K152,K89,K158,K199,K207,K215,K223,K232,K240,K250,K258,K266,K275,K283,K291,K299,K307,K315,K324,K332,K340,K348,K357,K365,K373,K381,K389,K399,K407,K415,K423,K439,K447,K455,K174)</f>
        <v>39138.298000000003</v>
      </c>
      <c r="L16" s="244">
        <f>SUBTOTAL(9,L43,L49,L55,L61,L67,L73,L80,L102,L108,L95,L121,L128,L140,L152,L89,L158,L199,L207,L215,L223,L232,L240,L250,L258,L266,L275,L283,L291,L299,L307,L315,L324,L332,L340,L348,L357,L365,L373,L381,L389,L399,L407,L415,L423,L439,L447,L455)</f>
        <v>11620.5</v>
      </c>
      <c r="M16" s="244">
        <f>SUBTOTAL(9,M43,M49,M55,M61,M67,M73,M80,M102,M108,M95,M121,M128,M140,M152,M89,M158,M199,M207,M215,M223,M232,M240,M250,M258,M266,M275,M283,M291,M299,M307,M315,M324,M332,M340,M348,M357,M365,M373,M381,M389,M399,M407,M415,M423,M439,M447,M455)</f>
        <v>11504.902105263158</v>
      </c>
      <c r="N16" s="244">
        <f>L16</f>
        <v>11620.5</v>
      </c>
      <c r="O16" s="244">
        <f>SUBTOTAL(9,O43,O49,O55,O61,O67,O73,O80,O102,O108,O95,O121,O128,O140,O152,O89,O158,O199,O207,O215,O223,O232,O240,O250,O258,O266,O275,O283,O291,O299,O307,O315,O324,O332,O340,O348,O357,O365,O373,O381,O389,O399,O407,O415,O423,O439,O447,O455)</f>
        <v>0</v>
      </c>
      <c r="P16" s="244">
        <f>SUBTOTAL(9,P43,P49,P55,P61,P67,P73,P80,P102,P108,P95,P121,P128,P140,P152,P89,P158,P199,P207,P215,P223,P232,P240,P250,P258,P266,P275,P283,P291,P299,P307,P315,P324,P332,P340,P348,P357,P365,P373,P381,P389,P399,P407,P415,P423,P439,P447,P455)</f>
        <v>0</v>
      </c>
      <c r="Q16" s="441">
        <f>SUM(L16:N16)</f>
        <v>34745.902105263158</v>
      </c>
    </row>
    <row r="17" spans="1:18" ht="21">
      <c r="A17" s="609"/>
      <c r="B17" s="609"/>
      <c r="C17" s="609"/>
      <c r="D17" s="609"/>
      <c r="E17" s="630"/>
      <c r="F17" s="176" t="s">
        <v>122</v>
      </c>
      <c r="G17" s="177">
        <f t="shared" si="1"/>
        <v>271244.29070300004</v>
      </c>
      <c r="H17" s="177">
        <f>H19+H20+H21+H22+H23+H24+H25+H26</f>
        <v>66549.887313000014</v>
      </c>
      <c r="I17" s="177">
        <f>SUM(I19:I26)</f>
        <v>51526.241689999995</v>
      </c>
      <c r="J17" s="177">
        <f>SUM(J19:J26)</f>
        <v>33270.300000000003</v>
      </c>
      <c r="K17" s="177">
        <f t="shared" ref="K17:P17" si="2">K19+K20+K21+K22+K23+K25+K26</f>
        <v>14970.197700000001</v>
      </c>
      <c r="L17" s="177">
        <f t="shared" si="2"/>
        <v>12955.8</v>
      </c>
      <c r="M17" s="177">
        <f t="shared" si="2"/>
        <v>12928.68</v>
      </c>
      <c r="N17" s="177">
        <f t="shared" si="2"/>
        <v>28164.928000000004</v>
      </c>
      <c r="O17" s="177">
        <f t="shared" si="2"/>
        <v>25439.128000000001</v>
      </c>
      <c r="P17" s="177">
        <f t="shared" si="2"/>
        <v>25439.128000000001</v>
      </c>
      <c r="Q17" s="441">
        <f>O17+N18</f>
        <v>28164.928</v>
      </c>
      <c r="R17" s="441"/>
    </row>
    <row r="18" spans="1:18" ht="21">
      <c r="A18" s="609"/>
      <c r="B18" s="609"/>
      <c r="C18" s="609"/>
      <c r="D18" s="609"/>
      <c r="E18" s="630"/>
      <c r="F18" s="176" t="s">
        <v>123</v>
      </c>
      <c r="G18" s="177">
        <f t="shared" si="1"/>
        <v>44117.347413000003</v>
      </c>
      <c r="H18" s="177">
        <f>SUBTOTAL(9,H45,H51,H57,H63,H69,H75,H82,H104,H123,H130,H142,H154,H91,H160,H409,H176)</f>
        <v>11168.019713</v>
      </c>
      <c r="I18" s="177">
        <f>SUBTOTAL(9,I45,I51,I57,I63,I69,I75,I82,I104,I97,I123,I130,I142,I154,I91,I160,I217,I326,I391,I409,I417,I425,I449,I457,I176)</f>
        <v>5997.7007000000003</v>
      </c>
      <c r="J18" s="244">
        <f>SUBTOTAL(9,J45,J51,J57,J63,J69,J75,J82,J104,J97,J123,J130,J142,J154,J91,J160,J201,J209,J217,J225,J234,J242,J252,J260,J268,J277,J285,J293,J301,J309,J317,J326,J334,J342,J350,J359,J367,J375,J383,J391,J401,J409,J417,J425,J441,J449,J457)</f>
        <v>3833.3</v>
      </c>
      <c r="K18" s="244">
        <f>SUBTOTAL(9,K45,K51,K57,K63,K69,K75,K82,K104,K97,K123,K130,K142,K154,K91,K160,K201,K209,K217,K225,K234,K242,K252,K260,K268,K277,K285,K293,K301,K309,K317,K326,K334,K342,K350,K359,K367,K375,K383,K391,K401,K409,K417,K425,K441,K449,K457,K176)</f>
        <v>14968.047</v>
      </c>
      <c r="L18" s="244">
        <f>SUBTOTAL(9,L45,L51,L57,L63,L69,L75,L82,L104,L97,L123,L130,L142,L154,L91,L160,L201,L209,L217,L225,L234,L242,L252,L260,L268,L277,L285,L293,L301,L309,L317,L326,L334,L342,L350,L359,L367,L375,L383,L391,L401,L409,L417,L425,L441,L449,L457)</f>
        <v>2725.8</v>
      </c>
      <c r="M18" s="244">
        <f>SUBTOTAL(9,M45,M51,M57,M63,M69,M75,M82,M104,M97,M123,M130,M142,M154,M91,M160,M201,M209,M217,M225,M234,M242,M252,M260,M268,M277,M285,M293,M301,M309,M317,M326,M334,M342,M350,M359,M367,M375,M383,M391,M401,M409,M417,M425,M441,M449,M457)</f>
        <v>2698.68</v>
      </c>
      <c r="N18" s="244">
        <f>L18</f>
        <v>2725.8</v>
      </c>
      <c r="O18" s="244">
        <f>SUBTOTAL(9,O45,O51,O57,O63,O69,O75,O82,O104,O97,O123,O130,O142,O154,O91,O160,O201,O209,O217,O225,O234,O242,O252,O260,O268,O277,O285,O293,O301,O309,O317,O326,O334,O342,O350,O359,O367,O375,O383,O391,O401,O409,O417,O425,O441,O449,O457)</f>
        <v>0</v>
      </c>
      <c r="P18" s="244">
        <f>SUBTOTAL(9,P45,P51,P57,P63,P69,P75,P82,P104,P97,P123,P130,P142,P154,P91,P160,P201,P209,P217,P225,P234,P242,P252,P260,P268,P277,P285,P293,P301,P309,P317,P326,P334,P342,P350,P359,P367,P375,P383,P391,P401,P409,P417,P425,P441,P449,P457)</f>
        <v>0</v>
      </c>
    </row>
    <row r="19" spans="1:18" ht="22.5">
      <c r="A19" s="609"/>
      <c r="B19" s="609"/>
      <c r="C19" s="609"/>
      <c r="D19" s="609"/>
      <c r="E19" s="630"/>
      <c r="F19" s="178" t="s">
        <v>233</v>
      </c>
      <c r="G19" s="177">
        <f t="shared" si="1"/>
        <v>162055.16631</v>
      </c>
      <c r="H19" s="175">
        <f>SUBTOTAL(9,H35,H71,H77,H87,H110,H113,H116,H119,H125,H132,H135,H144,H149,H162,H167,H191,H522)</f>
        <v>21642.058309999997</v>
      </c>
      <c r="I19" s="175">
        <f>SUBTOTAL(9,I35,I71,I77,I87,I110,I113,I116,I125,I132,I135,I144,I149,I162,I167,I468,I472,I476,I480,I484,I492,I496,I499,I502,I505,I508,I512,I542,I553,I185,I191,I195,I522)</f>
        <v>17666.416300000001</v>
      </c>
      <c r="J19" s="175">
        <f>SUBTOTAL(9,J35,J71,J77,J87,J110,J113,J116,J119,J125,J132,J135,J144,J149,J162,J167,J195,J205,J213,J221,J230,J238,J247,J264,J272,J281,J289,J297,J305,J313,J321,J330,J338,J346,J354,J363,J371,J379,J387,J397,J405,J413,J421,J429,J445,J453,J461,J468,J472,J476,J480,J484,J492,J496,J499,J502,J505,J508,J512,J542,J553,J185)</f>
        <v>16993.5</v>
      </c>
      <c r="K19" s="175">
        <f t="shared" ref="K19:P19" si="3">SUBTOTAL(9,K35,K71,K77,K87,K110,K113,K116,K119,K125,K132,K135,K144,K149,K162,K167,K205,K213,K221,K230,K238,K247,K264,K272,K281,K289,K297,K305,K313,K321,K330,K338,K346,K354,K363,K371,K379,K387,K397,K405,K413,K421,K429,K445,K453,K461,K468,K472,K476,K480,K484,K492,K496,K499,K502,K505,K508,K512,K542,K553)</f>
        <v>1980.3477</v>
      </c>
      <c r="L19" s="175">
        <f t="shared" si="3"/>
        <v>12378.39</v>
      </c>
      <c r="M19" s="175">
        <f t="shared" si="3"/>
        <v>12928.68</v>
      </c>
      <c r="N19" s="175">
        <f t="shared" si="3"/>
        <v>27587.518000000004</v>
      </c>
      <c r="O19" s="175">
        <f t="shared" si="3"/>
        <v>25439.128000000001</v>
      </c>
      <c r="P19" s="175">
        <f t="shared" si="3"/>
        <v>25439.128000000001</v>
      </c>
      <c r="Q19" s="441"/>
    </row>
    <row r="20" spans="1:18" ht="22.5">
      <c r="A20" s="609"/>
      <c r="B20" s="609"/>
      <c r="C20" s="609"/>
      <c r="D20" s="609"/>
      <c r="E20" s="630"/>
      <c r="F20" s="178" t="s">
        <v>76</v>
      </c>
      <c r="G20" s="177">
        <f t="shared" ref="G20:G23" si="4">H20+I20+J20+K20+L20+M20</f>
        <v>27258.546440000002</v>
      </c>
      <c r="H20" s="175">
        <f>SUBTOTAL(9,H37,H53,H150,H409,H192)</f>
        <v>9449.9864400000006</v>
      </c>
      <c r="I20" s="175">
        <f>SUBTOTAL(9,I37,I53,I150,I395)</f>
        <v>6300</v>
      </c>
      <c r="J20" s="245">
        <f t="shared" ref="J20:P20" si="5">SUBTOTAL(9,J37,J53,J150,J229,J246,J395)</f>
        <v>10183.5</v>
      </c>
      <c r="K20" s="245">
        <f t="shared" si="5"/>
        <v>747.65</v>
      </c>
      <c r="L20" s="175">
        <f>L355</f>
        <v>577.41</v>
      </c>
      <c r="M20" s="175">
        <f t="shared" si="5"/>
        <v>0</v>
      </c>
      <c r="N20" s="175">
        <f>N355</f>
        <v>577.41</v>
      </c>
      <c r="O20" s="175">
        <f t="shared" si="5"/>
        <v>0</v>
      </c>
      <c r="P20" s="175">
        <f t="shared" si="5"/>
        <v>0</v>
      </c>
    </row>
    <row r="21" spans="1:18" ht="33.75">
      <c r="A21" s="609"/>
      <c r="B21" s="609"/>
      <c r="C21" s="609"/>
      <c r="D21" s="609"/>
      <c r="E21" s="630"/>
      <c r="F21" s="178" t="s">
        <v>88</v>
      </c>
      <c r="G21" s="177">
        <f t="shared" si="4"/>
        <v>22563.782603</v>
      </c>
      <c r="H21" s="175">
        <f>SUBTOTAL(9,H38,H59,H138,H163)</f>
        <v>5776.9786530000001</v>
      </c>
      <c r="I21" s="175">
        <f t="shared" ref="I21:P21" si="6">SUBTOTAL(9,I38,I59,I138,I163,I99)</f>
        <v>4419.6039499999997</v>
      </c>
      <c r="J21" s="245">
        <f t="shared" si="6"/>
        <v>3366.1</v>
      </c>
      <c r="K21" s="175">
        <f t="shared" si="6"/>
        <v>9001.1</v>
      </c>
      <c r="L21" s="175">
        <f t="shared" si="6"/>
        <v>0</v>
      </c>
      <c r="M21" s="175">
        <f t="shared" si="6"/>
        <v>0</v>
      </c>
      <c r="N21" s="175">
        <f t="shared" si="6"/>
        <v>0</v>
      </c>
      <c r="O21" s="175">
        <f t="shared" si="6"/>
        <v>0</v>
      </c>
      <c r="P21" s="175">
        <f t="shared" si="6"/>
        <v>0</v>
      </c>
    </row>
    <row r="22" spans="1:18" ht="22.5">
      <c r="A22" s="609"/>
      <c r="B22" s="609"/>
      <c r="C22" s="609"/>
      <c r="D22" s="609"/>
      <c r="E22" s="630"/>
      <c r="F22" s="178" t="s">
        <v>426</v>
      </c>
      <c r="G22" s="177">
        <f t="shared" si="4"/>
        <v>24225.6787</v>
      </c>
      <c r="H22" s="175">
        <f>SUBTOTAL(9,H39,H65,H106,H164)</f>
        <v>5690.7568900000006</v>
      </c>
      <c r="I22" s="175">
        <f t="shared" ref="I22:P22" si="7">SUBTOTAL(9,I39,I65,I106,I164,I145)</f>
        <v>18534.92181</v>
      </c>
      <c r="J22" s="245">
        <f t="shared" si="7"/>
        <v>0</v>
      </c>
      <c r="K22" s="175">
        <f t="shared" si="7"/>
        <v>0</v>
      </c>
      <c r="L22" s="175">
        <f t="shared" si="7"/>
        <v>0</v>
      </c>
      <c r="M22" s="175">
        <f t="shared" si="7"/>
        <v>0</v>
      </c>
      <c r="N22" s="175">
        <f t="shared" si="7"/>
        <v>0</v>
      </c>
      <c r="O22" s="175">
        <f t="shared" si="7"/>
        <v>0</v>
      </c>
      <c r="P22" s="175">
        <f t="shared" si="7"/>
        <v>0</v>
      </c>
    </row>
    <row r="23" spans="1:18" ht="22.5">
      <c r="A23" s="609"/>
      <c r="B23" s="609"/>
      <c r="C23" s="609"/>
      <c r="D23" s="609"/>
      <c r="E23" s="630"/>
      <c r="F23" s="178" t="s">
        <v>78</v>
      </c>
      <c r="G23" s="177">
        <f t="shared" si="4"/>
        <v>20017.699999999997</v>
      </c>
      <c r="H23" s="175">
        <f>SUBTOTAL(9,H36,H47,H488,H491,H516,H519,H523,H539,H546,H549,H552,H178)</f>
        <v>12042.83</v>
      </c>
      <c r="I23" s="175">
        <f>SUBTOTAL(9,I36,I47,I488,I491,I516,I519,I523,I539,I546,I549,I552,I396,I178)</f>
        <v>2706.5699999999997</v>
      </c>
      <c r="J23" s="245">
        <f>SUBTOTAL(9,J36,J47,J256,J396,J488,J491,J516,J519,J523,J539,J546,J549,J549,J552,J178)</f>
        <v>2027.2</v>
      </c>
      <c r="K23" s="175">
        <v>3241.1</v>
      </c>
      <c r="L23" s="175">
        <f>SUBTOTAL(9,L36,L47,L488,L491,L516,L519,L523,L539,L546,L549,L552,L256,L396)</f>
        <v>0</v>
      </c>
      <c r="M23" s="175">
        <f>SUBTOTAL(9,M36,M47,M488,M491,M516,M519,M523,M539,M546,M549,M552,M256,M396)</f>
        <v>0</v>
      </c>
      <c r="N23" s="175">
        <f>SUBTOTAL(9,N36,N47,N488,N491,N516,N519,N523,N539,N546,N549,N552,N256,N396)</f>
        <v>0</v>
      </c>
      <c r="O23" s="175">
        <f>SUBTOTAL(9,O36,O47,O488,O491,O516,O519,O523,O539,O546,O549,O552,O256,O396)</f>
        <v>0</v>
      </c>
      <c r="P23" s="175">
        <f>SUBTOTAL(9,P36,P47,P488,P491,P516,P519,P523,P539,P546,P549,P552,P256,P396)</f>
        <v>0</v>
      </c>
      <c r="R23" s="441"/>
    </row>
    <row r="24" spans="1:18" ht="22.5">
      <c r="A24" s="609"/>
      <c r="B24" s="609"/>
      <c r="C24" s="609"/>
      <c r="D24" s="609"/>
      <c r="E24" s="630"/>
      <c r="F24" s="178" t="s">
        <v>110</v>
      </c>
      <c r="G24" s="177">
        <f>H24</f>
        <v>10920.305339999999</v>
      </c>
      <c r="H24" s="175">
        <f>SUBTOTAL(9,H40,H78,H469,H473,H477,H481,H485,H493,H513,H543,H554)</f>
        <v>10920.305339999999</v>
      </c>
      <c r="I24" s="334" t="s">
        <v>182</v>
      </c>
      <c r="J24" s="305" t="s">
        <v>182</v>
      </c>
      <c r="K24" s="179" t="s">
        <v>182</v>
      </c>
      <c r="L24" s="179" t="s">
        <v>182</v>
      </c>
      <c r="M24" s="179" t="s">
        <v>182</v>
      </c>
      <c r="N24" s="179" t="s">
        <v>182</v>
      </c>
      <c r="O24" s="179" t="s">
        <v>182</v>
      </c>
      <c r="P24" s="179" t="s">
        <v>182</v>
      </c>
    </row>
    <row r="25" spans="1:18" ht="22.5">
      <c r="A25" s="609"/>
      <c r="B25" s="609"/>
      <c r="C25" s="609"/>
      <c r="D25" s="609"/>
      <c r="E25" s="630"/>
      <c r="F25" s="178" t="s">
        <v>77</v>
      </c>
      <c r="G25" s="177">
        <f t="shared" ref="G25:G39" si="8">H25+I25+J25+K25+L25+M25</f>
        <v>2866.8996099999999</v>
      </c>
      <c r="H25" s="175">
        <f t="shared" ref="H25:P25" si="9">SUBTOTAL(9,H93,H156)</f>
        <v>432.36750999999998</v>
      </c>
      <c r="I25" s="175">
        <f t="shared" si="9"/>
        <v>1734.5320999999999</v>
      </c>
      <c r="J25" s="245">
        <f t="shared" si="9"/>
        <v>700</v>
      </c>
      <c r="K25" s="175">
        <f t="shared" si="9"/>
        <v>0</v>
      </c>
      <c r="L25" s="175">
        <f t="shared" si="9"/>
        <v>0</v>
      </c>
      <c r="M25" s="175">
        <f t="shared" si="9"/>
        <v>0</v>
      </c>
      <c r="N25" s="175">
        <f t="shared" si="9"/>
        <v>0</v>
      </c>
      <c r="O25" s="175">
        <f t="shared" si="9"/>
        <v>0</v>
      </c>
      <c r="P25" s="175">
        <f t="shared" si="9"/>
        <v>0</v>
      </c>
    </row>
    <row r="26" spans="1:18" ht="22.5">
      <c r="A26" s="613"/>
      <c r="B26" s="613"/>
      <c r="C26" s="613"/>
      <c r="D26" s="613"/>
      <c r="E26" s="631"/>
      <c r="F26" s="178" t="s">
        <v>170</v>
      </c>
      <c r="G26" s="177">
        <f t="shared" si="8"/>
        <v>758.80169999999998</v>
      </c>
      <c r="H26" s="175">
        <f>SUBTOTAL(9,H84)</f>
        <v>594.60416999999995</v>
      </c>
      <c r="I26" s="175">
        <f t="shared" ref="I26:P26" si="10">SUBTOTAL(9,I84,I41)</f>
        <v>164.19753</v>
      </c>
      <c r="J26" s="245">
        <f t="shared" si="10"/>
        <v>0</v>
      </c>
      <c r="K26" s="175">
        <f t="shared" si="10"/>
        <v>0</v>
      </c>
      <c r="L26" s="175">
        <f t="shared" si="10"/>
        <v>0</v>
      </c>
      <c r="M26" s="175">
        <f t="shared" si="10"/>
        <v>0</v>
      </c>
      <c r="N26" s="175">
        <f t="shared" si="10"/>
        <v>0</v>
      </c>
      <c r="O26" s="175">
        <f t="shared" si="10"/>
        <v>0</v>
      </c>
      <c r="P26" s="175">
        <f t="shared" si="10"/>
        <v>0</v>
      </c>
    </row>
    <row r="27" spans="1:18" ht="23.25" customHeight="1">
      <c r="A27" s="336"/>
      <c r="B27" s="336"/>
      <c r="C27" s="336"/>
      <c r="D27" s="336"/>
      <c r="E27" s="337"/>
      <c r="F27" s="176" t="s">
        <v>358</v>
      </c>
      <c r="G27" s="177">
        <f>K27+L27+M27</f>
        <v>0</v>
      </c>
      <c r="H27" s="177" t="str">
        <f>H411</f>
        <v>-</v>
      </c>
      <c r="I27" s="177" t="str">
        <f t="shared" ref="I27:J27" si="11">I411</f>
        <v>-</v>
      </c>
      <c r="J27" s="177" t="str">
        <f t="shared" si="11"/>
        <v>-</v>
      </c>
      <c r="K27" s="244">
        <f t="shared" ref="K27:P27" si="12">K203+K211+K219+K227+K236+K244+K254+K262+K270+K279+K295+K303+K311+K319+K328+K336+K344+K352+K361+K369+K385+K393+K403+K411+K419+K443+K451+K459</f>
        <v>0</v>
      </c>
      <c r="L27" s="244">
        <f t="shared" si="12"/>
        <v>0</v>
      </c>
      <c r="M27" s="244">
        <f t="shared" si="12"/>
        <v>0</v>
      </c>
      <c r="N27" s="244">
        <f t="shared" si="12"/>
        <v>0</v>
      </c>
      <c r="O27" s="244">
        <f t="shared" si="12"/>
        <v>0</v>
      </c>
      <c r="P27" s="244">
        <f t="shared" si="12"/>
        <v>0</v>
      </c>
    </row>
    <row r="28" spans="1:18">
      <c r="A28" s="336"/>
      <c r="B28" s="336"/>
      <c r="C28" s="336"/>
      <c r="D28" s="336"/>
      <c r="E28" s="337"/>
      <c r="F28" s="176" t="s">
        <v>357</v>
      </c>
      <c r="G28" s="177">
        <f>K28+L28+M28</f>
        <v>0</v>
      </c>
      <c r="H28" s="177" t="str">
        <f>H412</f>
        <v>-</v>
      </c>
      <c r="I28" s="177" t="s">
        <v>182</v>
      </c>
      <c r="J28" s="219" t="s">
        <v>182</v>
      </c>
      <c r="K28" s="244">
        <f t="shared" ref="K28:P28" si="13">K204+K212+K220+K237+K245+K255+K263+K271+K280+K288+K296+K304+K312+K320+K329+K337+K345+K353+K362+K370+K378+K386+K394+K404+K412+K428+K444+K452+K460</f>
        <v>0</v>
      </c>
      <c r="L28" s="244">
        <f t="shared" si="13"/>
        <v>0</v>
      </c>
      <c r="M28" s="244">
        <f t="shared" si="13"/>
        <v>0</v>
      </c>
      <c r="N28" s="244">
        <f t="shared" si="13"/>
        <v>0</v>
      </c>
      <c r="O28" s="244">
        <f t="shared" si="13"/>
        <v>0</v>
      </c>
      <c r="P28" s="244">
        <f t="shared" si="13"/>
        <v>0</v>
      </c>
    </row>
    <row r="29" spans="1:18">
      <c r="A29" s="608" t="s">
        <v>83</v>
      </c>
      <c r="B29" s="571" t="s">
        <v>143</v>
      </c>
      <c r="C29" s="571"/>
      <c r="D29" s="559"/>
      <c r="E29" s="629" t="s">
        <v>542</v>
      </c>
      <c r="F29" s="176" t="s">
        <v>120</v>
      </c>
      <c r="G29" s="177">
        <f>H29+I29+J29+K29+L29+M29+N29+O29+P29</f>
        <v>310226.39083000005</v>
      </c>
      <c r="H29" s="177">
        <f>SUM(H32,H100,H126,H146)</f>
        <v>81426.106830000004</v>
      </c>
      <c r="I29" s="177">
        <v>61758.5</v>
      </c>
      <c r="J29" s="244">
        <f>SUM(J32,J100,J126,J146)</f>
        <v>41104.5</v>
      </c>
      <c r="K29" s="244">
        <f>SUM(K32,K100,K126,K146)</f>
        <v>29159.9</v>
      </c>
      <c r="L29" s="244">
        <f>SUM(L32,L100,L126,L146)</f>
        <v>10230</v>
      </c>
      <c r="M29" s="244">
        <f t="shared" ref="M29:P29" si="14">SUM(M32,M100,M126,M146)</f>
        <v>10230</v>
      </c>
      <c r="N29" s="244">
        <f t="shared" si="14"/>
        <v>25439.128000000001</v>
      </c>
      <c r="O29" s="244">
        <f t="shared" si="14"/>
        <v>25439.128000000001</v>
      </c>
      <c r="P29" s="244">
        <f t="shared" si="14"/>
        <v>25439.128000000001</v>
      </c>
    </row>
    <row r="30" spans="1:18">
      <c r="A30" s="609"/>
      <c r="B30" s="572"/>
      <c r="C30" s="572"/>
      <c r="D30" s="560"/>
      <c r="E30" s="630"/>
      <c r="F30" s="176" t="s">
        <v>121</v>
      </c>
      <c r="G30" s="177">
        <f t="shared" ref="G30:G32" si="15">H30+I30+J30+K30+L30+M30+N30+O30+P30</f>
        <v>61454.799510000004</v>
      </c>
      <c r="H30" s="177">
        <f>H43+H49+H55+H61+H67+H73+H80+H102+H108+H121+H128+H140+H152+H89+H158</f>
        <v>18176.399510000003</v>
      </c>
      <c r="I30" s="177">
        <f t="shared" ref="I30:P30" si="16">I43+I49+I55+I61+I67+I73+I80+I102+I108+I95+I121+I128+I140+I152+I89+I158</f>
        <v>15214.299999999997</v>
      </c>
      <c r="J30" s="244">
        <f t="shared" si="16"/>
        <v>9134.2000000000007</v>
      </c>
      <c r="K30" s="244">
        <f t="shared" si="16"/>
        <v>18929.900000000001</v>
      </c>
      <c r="L30" s="244">
        <f t="shared" si="16"/>
        <v>0</v>
      </c>
      <c r="M30" s="177">
        <f t="shared" si="16"/>
        <v>0</v>
      </c>
      <c r="N30" s="177">
        <f t="shared" si="16"/>
        <v>0</v>
      </c>
      <c r="O30" s="177">
        <f t="shared" si="16"/>
        <v>0</v>
      </c>
      <c r="P30" s="177">
        <f t="shared" si="16"/>
        <v>0</v>
      </c>
    </row>
    <row r="31" spans="1:18" ht="47.25" customHeight="1">
      <c r="A31" s="613"/>
      <c r="B31" s="580"/>
      <c r="C31" s="580"/>
      <c r="D31" s="646"/>
      <c r="E31" s="631"/>
      <c r="F31" s="176" t="s">
        <v>207</v>
      </c>
      <c r="G31" s="177">
        <f t="shared" si="15"/>
        <v>248771.57131299996</v>
      </c>
      <c r="H31" s="177">
        <f>H34+H44+H50+H56+H62+H68+H74+H81+H86+H103+H109+H112+H122+H129+H134+H137+H141+H148+H153+H90+H159+H166</f>
        <v>63249.687312999995</v>
      </c>
      <c r="I31" s="177">
        <v>46544.2</v>
      </c>
      <c r="J31" s="244">
        <f>J34+J44+J50+J56+J62+J68+J74+J81+J86+J103+J109+J96+J112+J115+J118+J122+J129+J134+J137+J141+J148+J153+J90+J159+J166</f>
        <v>31970.3</v>
      </c>
      <c r="K31" s="244">
        <f>K34+K44+K50+K56+K62+K68+K74+K81+K86+K103+K109+K96+K112+K115+K118+K122+K129+K134+K137+K141+K148+K153+K90+K159+K166</f>
        <v>10230</v>
      </c>
      <c r="L31" s="244">
        <f>L34+L44+L50+L56+L62+L68+L74+L81+L86+L103+L109+L96+L112+L115+L118+L122+L129+L134+L137+L141+L148+L153+L90+L159+L166</f>
        <v>10230</v>
      </c>
      <c r="M31" s="244">
        <f t="shared" ref="M31:P31" si="17">M34+M44+M50+M56+M62+M68+M74+M81+M86+M103+M109+M96+M112+M115+M118+M122+M129+M134+M137+M141+M148+M153+M90+M159+M166</f>
        <v>10230</v>
      </c>
      <c r="N31" s="244">
        <f t="shared" si="17"/>
        <v>25439.128000000001</v>
      </c>
      <c r="O31" s="244">
        <f t="shared" si="17"/>
        <v>25439.128000000001</v>
      </c>
      <c r="P31" s="244">
        <f t="shared" si="17"/>
        <v>25439.128000000001</v>
      </c>
    </row>
    <row r="32" spans="1:18" ht="29.25" customHeight="1">
      <c r="A32" s="8" t="s">
        <v>83</v>
      </c>
      <c r="B32" s="9" t="s">
        <v>143</v>
      </c>
      <c r="C32" s="9" t="s">
        <v>15</v>
      </c>
      <c r="D32" s="7"/>
      <c r="E32" s="623" t="s">
        <v>543</v>
      </c>
      <c r="F32" s="624"/>
      <c r="G32" s="177">
        <f t="shared" si="15"/>
        <v>283829.86995000002</v>
      </c>
      <c r="H32" s="244">
        <f t="shared" ref="H32:I32" si="18">SUM(H34,H42,H48,H54,H60,H66,H72,H79,H86, H88, H94)</f>
        <v>70300.45723</v>
      </c>
      <c r="I32" s="244">
        <f t="shared" si="18"/>
        <v>51358.406719999999</v>
      </c>
      <c r="J32" s="244">
        <f>SUM(J34,J42,J48,J54,J60,J66,J72,J79,J86, J88, J94)</f>
        <v>36233.722000000002</v>
      </c>
      <c r="K32" s="244">
        <f t="shared" ref="K32:P32" si="19">SUM(K34,K42,K48,K54,K60,K66,K72,K79,K86, K88, K94)</f>
        <v>29159.9</v>
      </c>
      <c r="L32" s="244">
        <f t="shared" si="19"/>
        <v>10230</v>
      </c>
      <c r="M32" s="244">
        <f t="shared" si="19"/>
        <v>10230</v>
      </c>
      <c r="N32" s="244">
        <f t="shared" si="19"/>
        <v>25439.128000000001</v>
      </c>
      <c r="O32" s="244">
        <f t="shared" si="19"/>
        <v>25439.128000000001</v>
      </c>
      <c r="P32" s="244">
        <f t="shared" si="19"/>
        <v>25439.128000000001</v>
      </c>
    </row>
    <row r="33" spans="1:16" ht="16.5" customHeight="1">
      <c r="A33" s="215" t="s">
        <v>83</v>
      </c>
      <c r="B33" s="571" t="s">
        <v>143</v>
      </c>
      <c r="C33" s="571" t="s">
        <v>15</v>
      </c>
      <c r="D33" s="571" t="s">
        <v>15</v>
      </c>
      <c r="E33" s="617" t="s">
        <v>485</v>
      </c>
      <c r="F33" s="178" t="s">
        <v>111</v>
      </c>
      <c r="G33" s="177">
        <f t="shared" si="8"/>
        <v>4377.018</v>
      </c>
      <c r="H33" s="175">
        <f t="shared" ref="H33:P33" si="20">H34</f>
        <v>1493.5</v>
      </c>
      <c r="I33" s="175">
        <f t="shared" si="20"/>
        <v>2343.518</v>
      </c>
      <c r="J33" s="245">
        <f t="shared" si="20"/>
        <v>540</v>
      </c>
      <c r="K33" s="175">
        <f t="shared" si="20"/>
        <v>0</v>
      </c>
      <c r="L33" s="175">
        <f t="shared" si="20"/>
        <v>0</v>
      </c>
      <c r="M33" s="175">
        <f t="shared" si="20"/>
        <v>0</v>
      </c>
      <c r="N33" s="175">
        <f t="shared" si="20"/>
        <v>0</v>
      </c>
      <c r="O33" s="175">
        <f t="shared" si="20"/>
        <v>0</v>
      </c>
      <c r="P33" s="175">
        <f t="shared" si="20"/>
        <v>0</v>
      </c>
    </row>
    <row r="34" spans="1:16" ht="22.5" customHeight="1">
      <c r="A34" s="216"/>
      <c r="B34" s="572"/>
      <c r="C34" s="572"/>
      <c r="D34" s="572"/>
      <c r="E34" s="618"/>
      <c r="F34" s="178" t="s">
        <v>148</v>
      </c>
      <c r="G34" s="177">
        <f t="shared" si="8"/>
        <v>4377.018</v>
      </c>
      <c r="H34" s="175">
        <f>SUM(H35:H40)</f>
        <v>1493.5</v>
      </c>
      <c r="I34" s="175">
        <f t="shared" ref="I34:P34" si="21">SUM(I35:I40)</f>
        <v>2343.518</v>
      </c>
      <c r="J34" s="175">
        <f t="shared" si="21"/>
        <v>540</v>
      </c>
      <c r="K34" s="175">
        <f t="shared" si="21"/>
        <v>0</v>
      </c>
      <c r="L34" s="175">
        <f t="shared" si="21"/>
        <v>0</v>
      </c>
      <c r="M34" s="175">
        <f t="shared" si="21"/>
        <v>0</v>
      </c>
      <c r="N34" s="175">
        <f t="shared" si="21"/>
        <v>0</v>
      </c>
      <c r="O34" s="175">
        <f t="shared" si="21"/>
        <v>0</v>
      </c>
      <c r="P34" s="175">
        <f t="shared" si="21"/>
        <v>0</v>
      </c>
    </row>
    <row r="35" spans="1:16" ht="22.5">
      <c r="A35" s="216"/>
      <c r="B35" s="572"/>
      <c r="C35" s="572"/>
      <c r="D35" s="572"/>
      <c r="E35" s="618"/>
      <c r="F35" s="178" t="s">
        <v>233</v>
      </c>
      <c r="G35" s="177">
        <f t="shared" si="8"/>
        <v>1438.35</v>
      </c>
      <c r="H35" s="175">
        <f>500-6.5</f>
        <v>493.5</v>
      </c>
      <c r="I35" s="175">
        <v>944.85</v>
      </c>
      <c r="J35" s="245">
        <v>0</v>
      </c>
      <c r="K35" s="175">
        <v>0</v>
      </c>
      <c r="L35" s="175">
        <v>0</v>
      </c>
      <c r="M35" s="175">
        <v>0</v>
      </c>
      <c r="N35" s="175">
        <v>0</v>
      </c>
      <c r="O35" s="175">
        <v>0</v>
      </c>
      <c r="P35" s="175">
        <v>0</v>
      </c>
    </row>
    <row r="36" spans="1:16" ht="22.5">
      <c r="A36" s="216"/>
      <c r="B36" s="572"/>
      <c r="C36" s="572"/>
      <c r="D36" s="572"/>
      <c r="E36" s="618"/>
      <c r="F36" s="178" t="s">
        <v>78</v>
      </c>
      <c r="G36" s="177">
        <f t="shared" si="8"/>
        <v>200</v>
      </c>
      <c r="H36" s="175">
        <v>200</v>
      </c>
      <c r="I36" s="175">
        <v>0</v>
      </c>
      <c r="J36" s="245">
        <v>0</v>
      </c>
      <c r="K36" s="175">
        <v>0</v>
      </c>
      <c r="L36" s="175">
        <v>0</v>
      </c>
      <c r="M36" s="175">
        <v>0</v>
      </c>
      <c r="N36" s="175">
        <v>0</v>
      </c>
      <c r="O36" s="175">
        <v>0</v>
      </c>
      <c r="P36" s="175">
        <v>0</v>
      </c>
    </row>
    <row r="37" spans="1:16" ht="22.5">
      <c r="A37" s="216"/>
      <c r="B37" s="572"/>
      <c r="C37" s="572"/>
      <c r="D37" s="572"/>
      <c r="E37" s="618"/>
      <c r="F37" s="178" t="s">
        <v>76</v>
      </c>
      <c r="G37" s="177">
        <f t="shared" si="8"/>
        <v>840</v>
      </c>
      <c r="H37" s="175">
        <v>200</v>
      </c>
      <c r="I37" s="175">
        <v>100</v>
      </c>
      <c r="J37" s="245">
        <v>540</v>
      </c>
      <c r="K37" s="175">
        <v>0</v>
      </c>
      <c r="L37" s="175">
        <v>0</v>
      </c>
      <c r="M37" s="175">
        <v>0</v>
      </c>
      <c r="N37" s="175">
        <v>0</v>
      </c>
      <c r="O37" s="175">
        <v>0</v>
      </c>
      <c r="P37" s="175">
        <v>0</v>
      </c>
    </row>
    <row r="38" spans="1:16" ht="33.75">
      <c r="A38" s="216"/>
      <c r="B38" s="572"/>
      <c r="C38" s="572"/>
      <c r="D38" s="572"/>
      <c r="E38" s="618"/>
      <c r="F38" s="178" t="s">
        <v>88</v>
      </c>
      <c r="G38" s="177">
        <f t="shared" si="8"/>
        <v>300</v>
      </c>
      <c r="H38" s="175">
        <v>200</v>
      </c>
      <c r="I38" s="175">
        <v>100</v>
      </c>
      <c r="J38" s="245">
        <v>0</v>
      </c>
      <c r="K38" s="175">
        <v>0</v>
      </c>
      <c r="L38" s="175">
        <v>0</v>
      </c>
      <c r="M38" s="175">
        <v>0</v>
      </c>
      <c r="N38" s="175">
        <v>0</v>
      </c>
      <c r="O38" s="175">
        <v>0</v>
      </c>
      <c r="P38" s="175">
        <v>0</v>
      </c>
    </row>
    <row r="39" spans="1:16" ht="22.5">
      <c r="A39" s="216"/>
      <c r="B39" s="572"/>
      <c r="C39" s="572"/>
      <c r="D39" s="572"/>
      <c r="E39" s="618"/>
      <c r="F39" s="178" t="s">
        <v>426</v>
      </c>
      <c r="G39" s="177">
        <f t="shared" si="8"/>
        <v>1398.6679999999999</v>
      </c>
      <c r="H39" s="175">
        <v>200</v>
      </c>
      <c r="I39" s="175">
        <v>1198.6679999999999</v>
      </c>
      <c r="J39" s="245">
        <v>0</v>
      </c>
      <c r="K39" s="175">
        <v>0</v>
      </c>
      <c r="L39" s="175">
        <v>0</v>
      </c>
      <c r="M39" s="175">
        <v>0</v>
      </c>
      <c r="N39" s="175">
        <v>0</v>
      </c>
      <c r="O39" s="175">
        <v>0</v>
      </c>
      <c r="P39" s="175">
        <v>0</v>
      </c>
    </row>
    <row r="40" spans="1:16" ht="22.5">
      <c r="A40" s="216"/>
      <c r="B40" s="572"/>
      <c r="C40" s="572"/>
      <c r="D40" s="572"/>
      <c r="E40" s="618"/>
      <c r="F40" s="178" t="s">
        <v>110</v>
      </c>
      <c r="G40" s="177">
        <f>H40</f>
        <v>200</v>
      </c>
      <c r="H40" s="175">
        <v>200</v>
      </c>
      <c r="I40" s="334" t="s">
        <v>182</v>
      </c>
      <c r="J40" s="305" t="s">
        <v>182</v>
      </c>
      <c r="K40" s="179" t="s">
        <v>182</v>
      </c>
      <c r="L40" s="179" t="s">
        <v>182</v>
      </c>
      <c r="M40" s="179" t="s">
        <v>182</v>
      </c>
      <c r="N40" s="179" t="s">
        <v>182</v>
      </c>
      <c r="O40" s="179" t="s">
        <v>182</v>
      </c>
      <c r="P40" s="179" t="s">
        <v>182</v>
      </c>
    </row>
    <row r="41" spans="1:16" ht="22.5">
      <c r="A41" s="217"/>
      <c r="B41" s="580"/>
      <c r="C41" s="580"/>
      <c r="D41" s="580"/>
      <c r="E41" s="619"/>
      <c r="F41" s="178" t="s">
        <v>170</v>
      </c>
      <c r="G41" s="177">
        <f t="shared" ref="G41:G77" si="22">H41+I41+J41+K41+L41+M41</f>
        <v>0</v>
      </c>
      <c r="H41" s="175">
        <v>0</v>
      </c>
      <c r="I41" s="175">
        <v>0</v>
      </c>
      <c r="J41" s="245">
        <v>0</v>
      </c>
      <c r="K41" s="175">
        <v>0</v>
      </c>
      <c r="L41" s="175">
        <v>0</v>
      </c>
      <c r="M41" s="175">
        <v>0</v>
      </c>
      <c r="N41" s="175">
        <v>0</v>
      </c>
      <c r="O41" s="175">
        <v>0</v>
      </c>
      <c r="P41" s="175">
        <v>0</v>
      </c>
    </row>
    <row r="42" spans="1:16" ht="27.75" customHeight="1">
      <c r="A42" s="608" t="s">
        <v>83</v>
      </c>
      <c r="B42" s="571" t="s">
        <v>143</v>
      </c>
      <c r="C42" s="571" t="s">
        <v>15</v>
      </c>
      <c r="D42" s="571" t="s">
        <v>16</v>
      </c>
      <c r="E42" s="610" t="s">
        <v>495</v>
      </c>
      <c r="F42" s="178" t="s">
        <v>111</v>
      </c>
      <c r="G42" s="177">
        <f t="shared" si="22"/>
        <v>36855.03</v>
      </c>
      <c r="H42" s="175">
        <f>SUM(H43:H44)</f>
        <v>16842.03</v>
      </c>
      <c r="I42" s="175">
        <f>I43+I44</f>
        <v>7097.7000000000007</v>
      </c>
      <c r="J42" s="245">
        <f>J43+J44</f>
        <v>6458.9</v>
      </c>
      <c r="K42" s="245">
        <f>K43+K44</f>
        <v>6456.4</v>
      </c>
      <c r="L42" s="175">
        <v>0</v>
      </c>
      <c r="M42" s="175">
        <v>0</v>
      </c>
      <c r="N42" s="175">
        <v>0</v>
      </c>
      <c r="O42" s="175">
        <v>0</v>
      </c>
      <c r="P42" s="175">
        <v>0</v>
      </c>
    </row>
    <row r="43" spans="1:16" ht="21.75" customHeight="1">
      <c r="A43" s="609"/>
      <c r="B43" s="572"/>
      <c r="C43" s="572"/>
      <c r="D43" s="572"/>
      <c r="E43" s="611"/>
      <c r="F43" s="178" t="s">
        <v>124</v>
      </c>
      <c r="G43" s="177">
        <f t="shared" si="22"/>
        <v>24209.7</v>
      </c>
      <c r="H43" s="175">
        <v>7999.2</v>
      </c>
      <c r="I43" s="175">
        <v>5749.1</v>
      </c>
      <c r="J43" s="245">
        <v>5231.7</v>
      </c>
      <c r="K43" s="175">
        <v>5229.7</v>
      </c>
      <c r="L43" s="175">
        <v>0</v>
      </c>
      <c r="M43" s="175">
        <v>0</v>
      </c>
      <c r="N43" s="175">
        <v>0</v>
      </c>
      <c r="O43" s="175">
        <v>0</v>
      </c>
      <c r="P43" s="175">
        <v>0</v>
      </c>
    </row>
    <row r="44" spans="1:16" ht="43.5" customHeight="1">
      <c r="A44" s="609"/>
      <c r="B44" s="572"/>
      <c r="C44" s="572"/>
      <c r="D44" s="572"/>
      <c r="E44" s="611"/>
      <c r="F44" s="178" t="s">
        <v>148</v>
      </c>
      <c r="G44" s="177">
        <f t="shared" si="22"/>
        <v>12645.330000000002</v>
      </c>
      <c r="H44" s="175">
        <f>SUM(H45:H46)</f>
        <v>8842.83</v>
      </c>
      <c r="I44" s="175">
        <v>1348.6</v>
      </c>
      <c r="J44" s="245">
        <v>1227.2</v>
      </c>
      <c r="K44" s="175">
        <v>1226.7</v>
      </c>
      <c r="L44" s="175">
        <v>0</v>
      </c>
      <c r="M44" s="175">
        <v>0</v>
      </c>
      <c r="N44" s="175">
        <v>0</v>
      </c>
      <c r="O44" s="175">
        <v>0</v>
      </c>
      <c r="P44" s="175">
        <v>0</v>
      </c>
    </row>
    <row r="45" spans="1:16" ht="39" customHeight="1">
      <c r="A45" s="609"/>
      <c r="B45" s="572"/>
      <c r="C45" s="572"/>
      <c r="D45" s="572"/>
      <c r="E45" s="611"/>
      <c r="F45" s="178" t="s">
        <v>123</v>
      </c>
      <c r="G45" s="177">
        <f t="shared" si="22"/>
        <v>7396.33</v>
      </c>
      <c r="H45" s="175">
        <v>3593.83</v>
      </c>
      <c r="I45" s="175">
        <v>1348.6</v>
      </c>
      <c r="J45" s="245">
        <v>1227.2</v>
      </c>
      <c r="K45" s="175">
        <v>1226.7</v>
      </c>
      <c r="L45" s="175">
        <v>0</v>
      </c>
      <c r="M45" s="175">
        <v>0</v>
      </c>
      <c r="N45" s="175">
        <v>0</v>
      </c>
      <c r="O45" s="175">
        <v>0</v>
      </c>
      <c r="P45" s="175">
        <v>0</v>
      </c>
    </row>
    <row r="46" spans="1:16" ht="42.75" customHeight="1">
      <c r="A46" s="609"/>
      <c r="B46" s="572"/>
      <c r="C46" s="572"/>
      <c r="D46" s="572"/>
      <c r="E46" s="611"/>
      <c r="F46" s="178" t="s">
        <v>147</v>
      </c>
      <c r="G46" s="177">
        <f t="shared" si="22"/>
        <v>5249</v>
      </c>
      <c r="H46" s="175">
        <v>5249</v>
      </c>
      <c r="I46" s="175">
        <v>0</v>
      </c>
      <c r="J46" s="245">
        <v>0</v>
      </c>
      <c r="K46" s="175">
        <v>0</v>
      </c>
      <c r="L46" s="175">
        <v>0</v>
      </c>
      <c r="M46" s="175">
        <v>0</v>
      </c>
      <c r="N46" s="175">
        <v>0</v>
      </c>
      <c r="O46" s="175">
        <v>0</v>
      </c>
      <c r="P46" s="175">
        <v>0</v>
      </c>
    </row>
    <row r="47" spans="1:16" ht="51.75" customHeight="1">
      <c r="A47" s="613"/>
      <c r="B47" s="580"/>
      <c r="C47" s="580"/>
      <c r="D47" s="580"/>
      <c r="E47" s="612"/>
      <c r="F47" s="178" t="s">
        <v>78</v>
      </c>
      <c r="G47" s="177">
        <f t="shared" si="22"/>
        <v>12645.330000000002</v>
      </c>
      <c r="H47" s="175">
        <f>H44</f>
        <v>8842.83</v>
      </c>
      <c r="I47" s="175">
        <v>1348.6</v>
      </c>
      <c r="J47" s="245">
        <v>1227.2</v>
      </c>
      <c r="K47" s="175">
        <v>1226.7</v>
      </c>
      <c r="L47" s="175">
        <v>0</v>
      </c>
      <c r="M47" s="175">
        <v>0</v>
      </c>
      <c r="N47" s="175">
        <v>0</v>
      </c>
      <c r="O47" s="175">
        <v>0</v>
      </c>
      <c r="P47" s="175">
        <v>0</v>
      </c>
    </row>
    <row r="48" spans="1:16">
      <c r="A48" s="608" t="s">
        <v>83</v>
      </c>
      <c r="B48" s="571" t="s">
        <v>143</v>
      </c>
      <c r="C48" s="571" t="s">
        <v>15</v>
      </c>
      <c r="D48" s="571" t="s">
        <v>17</v>
      </c>
      <c r="E48" s="610" t="s">
        <v>496</v>
      </c>
      <c r="F48" s="178" t="s">
        <v>111</v>
      </c>
      <c r="G48" s="177">
        <f t="shared" si="22"/>
        <v>25694</v>
      </c>
      <c r="H48" s="175">
        <v>9000.5</v>
      </c>
      <c r="I48" s="175">
        <f>I49+I50</f>
        <v>7050</v>
      </c>
      <c r="J48" s="245">
        <f>J49+J50</f>
        <v>9643.5</v>
      </c>
      <c r="K48" s="175">
        <v>0</v>
      </c>
      <c r="L48" s="175">
        <v>0</v>
      </c>
      <c r="M48" s="175">
        <v>0</v>
      </c>
      <c r="N48" s="175">
        <v>0</v>
      </c>
      <c r="O48" s="175">
        <v>0</v>
      </c>
      <c r="P48" s="175">
        <v>0</v>
      </c>
    </row>
    <row r="49" spans="1:16">
      <c r="A49" s="609"/>
      <c r="B49" s="572"/>
      <c r="C49" s="572"/>
      <c r="D49" s="572"/>
      <c r="E49" s="611"/>
      <c r="F49" s="178" t="s">
        <v>124</v>
      </c>
      <c r="G49" s="177">
        <f t="shared" si="22"/>
        <v>2600.5135600000003</v>
      </c>
      <c r="H49" s="175">
        <v>1750.5135600000001</v>
      </c>
      <c r="I49" s="175">
        <v>850</v>
      </c>
      <c r="J49" s="245">
        <v>0</v>
      </c>
      <c r="K49" s="175">
        <v>0</v>
      </c>
      <c r="L49" s="175">
        <v>0</v>
      </c>
      <c r="M49" s="175">
        <v>0</v>
      </c>
      <c r="N49" s="175">
        <v>0</v>
      </c>
      <c r="O49" s="175">
        <v>0</v>
      </c>
      <c r="P49" s="175">
        <v>0</v>
      </c>
    </row>
    <row r="50" spans="1:16" ht="22.5">
      <c r="A50" s="609"/>
      <c r="B50" s="572"/>
      <c r="C50" s="572"/>
      <c r="D50" s="572"/>
      <c r="E50" s="611"/>
      <c r="F50" s="178" t="s">
        <v>148</v>
      </c>
      <c r="G50" s="177">
        <f t="shared" si="22"/>
        <v>23093.486440000001</v>
      </c>
      <c r="H50" s="175">
        <f>H51+H52</f>
        <v>7249.9864399999997</v>
      </c>
      <c r="I50" s="175">
        <f>I51+I52</f>
        <v>6200</v>
      </c>
      <c r="J50" s="245">
        <f>J51+J52</f>
        <v>9643.5</v>
      </c>
      <c r="K50" s="175">
        <v>0</v>
      </c>
      <c r="L50" s="175">
        <v>0</v>
      </c>
      <c r="M50" s="175">
        <v>0</v>
      </c>
      <c r="N50" s="175">
        <v>0</v>
      </c>
      <c r="O50" s="175">
        <v>0</v>
      </c>
      <c r="P50" s="175">
        <v>0</v>
      </c>
    </row>
    <row r="51" spans="1:16" ht="22.5">
      <c r="A51" s="609"/>
      <c r="B51" s="572"/>
      <c r="C51" s="572"/>
      <c r="D51" s="572"/>
      <c r="E51" s="611"/>
      <c r="F51" s="178" t="s">
        <v>123</v>
      </c>
      <c r="G51" s="177">
        <f t="shared" si="22"/>
        <v>986.15915999999993</v>
      </c>
      <c r="H51" s="175">
        <v>786.77643999999998</v>
      </c>
      <c r="I51" s="175">
        <v>199.38272000000001</v>
      </c>
      <c r="J51" s="245">
        <v>0</v>
      </c>
      <c r="K51" s="175">
        <v>0</v>
      </c>
      <c r="L51" s="175">
        <v>0</v>
      </c>
      <c r="M51" s="175">
        <v>0</v>
      </c>
      <c r="N51" s="175">
        <v>0</v>
      </c>
      <c r="O51" s="175">
        <v>0</v>
      </c>
      <c r="P51" s="175">
        <v>0</v>
      </c>
    </row>
    <row r="52" spans="1:16" ht="22.5">
      <c r="A52" s="609"/>
      <c r="B52" s="572"/>
      <c r="C52" s="572"/>
      <c r="D52" s="572"/>
      <c r="E52" s="611"/>
      <c r="F52" s="178" t="s">
        <v>147</v>
      </c>
      <c r="G52" s="177">
        <f t="shared" si="22"/>
        <v>22107.327280000001</v>
      </c>
      <c r="H52" s="175">
        <v>6463.21</v>
      </c>
      <c r="I52" s="175">
        <v>6000.6172800000004</v>
      </c>
      <c r="J52" s="245">
        <v>9643.5</v>
      </c>
      <c r="K52" s="175">
        <v>0</v>
      </c>
      <c r="L52" s="175">
        <v>0</v>
      </c>
      <c r="M52" s="175">
        <v>0</v>
      </c>
      <c r="N52" s="175">
        <v>0</v>
      </c>
      <c r="O52" s="175">
        <v>0</v>
      </c>
      <c r="P52" s="175">
        <v>0</v>
      </c>
    </row>
    <row r="53" spans="1:16" ht="22.5">
      <c r="A53" s="613"/>
      <c r="B53" s="580"/>
      <c r="C53" s="580"/>
      <c r="D53" s="580"/>
      <c r="E53" s="612"/>
      <c r="F53" s="178" t="s">
        <v>76</v>
      </c>
      <c r="G53" s="177">
        <f t="shared" si="22"/>
        <v>23093.486440000001</v>
      </c>
      <c r="H53" s="175">
        <f>H50</f>
        <v>7249.9864399999997</v>
      </c>
      <c r="I53" s="175">
        <f>I50</f>
        <v>6200</v>
      </c>
      <c r="J53" s="245">
        <f>J50</f>
        <v>9643.5</v>
      </c>
      <c r="K53" s="175">
        <v>0</v>
      </c>
      <c r="L53" s="175">
        <v>0</v>
      </c>
      <c r="M53" s="175">
        <v>0</v>
      </c>
      <c r="N53" s="175">
        <v>0</v>
      </c>
      <c r="O53" s="175">
        <v>0</v>
      </c>
      <c r="P53" s="175">
        <v>0</v>
      </c>
    </row>
    <row r="54" spans="1:16">
      <c r="A54" s="608" t="s">
        <v>83</v>
      </c>
      <c r="B54" s="571" t="s">
        <v>143</v>
      </c>
      <c r="C54" s="571" t="s">
        <v>15</v>
      </c>
      <c r="D54" s="571" t="s">
        <v>18</v>
      </c>
      <c r="E54" s="610" t="s">
        <v>488</v>
      </c>
      <c r="F54" s="178" t="s">
        <v>111</v>
      </c>
      <c r="G54" s="177">
        <f t="shared" si="22"/>
        <v>8029.28395</v>
      </c>
      <c r="H54" s="175">
        <v>6512</v>
      </c>
      <c r="I54" s="175">
        <f>I55+I56</f>
        <v>1517.28395</v>
      </c>
      <c r="J54" s="245">
        <f>J55+J56</f>
        <v>0</v>
      </c>
      <c r="K54" s="175">
        <v>0</v>
      </c>
      <c r="L54" s="175">
        <v>0</v>
      </c>
      <c r="M54" s="175">
        <v>0</v>
      </c>
      <c r="N54" s="175">
        <v>0</v>
      </c>
      <c r="O54" s="175">
        <v>0</v>
      </c>
      <c r="P54" s="175">
        <v>0</v>
      </c>
    </row>
    <row r="55" spans="1:16">
      <c r="A55" s="609"/>
      <c r="B55" s="572"/>
      <c r="C55" s="572"/>
      <c r="D55" s="572"/>
      <c r="E55" s="611"/>
      <c r="F55" s="178" t="s">
        <v>124</v>
      </c>
      <c r="G55" s="177">
        <f t="shared" si="22"/>
        <v>1761.9987699999999</v>
      </c>
      <c r="H55" s="175">
        <v>1261.9987699999999</v>
      </c>
      <c r="I55" s="175">
        <v>500</v>
      </c>
      <c r="J55" s="245">
        <v>0</v>
      </c>
      <c r="K55" s="175">
        <v>0</v>
      </c>
      <c r="L55" s="175">
        <v>0</v>
      </c>
      <c r="M55" s="175">
        <v>0</v>
      </c>
      <c r="N55" s="175">
        <v>0</v>
      </c>
      <c r="O55" s="175">
        <v>0</v>
      </c>
      <c r="P55" s="175">
        <v>0</v>
      </c>
    </row>
    <row r="56" spans="1:16" ht="22.5">
      <c r="A56" s="609"/>
      <c r="B56" s="572"/>
      <c r="C56" s="572"/>
      <c r="D56" s="572"/>
      <c r="E56" s="611"/>
      <c r="F56" s="178" t="s">
        <v>148</v>
      </c>
      <c r="G56" s="177">
        <f t="shared" si="22"/>
        <v>6267.2851730000002</v>
      </c>
      <c r="H56" s="175">
        <f>H57+H58</f>
        <v>5250.0012230000002</v>
      </c>
      <c r="I56" s="175">
        <f>I57+I58</f>
        <v>1017.28395</v>
      </c>
      <c r="J56" s="245">
        <f>J57+J58</f>
        <v>0</v>
      </c>
      <c r="K56" s="175">
        <v>0</v>
      </c>
      <c r="L56" s="175">
        <v>0</v>
      </c>
      <c r="M56" s="175">
        <v>0</v>
      </c>
      <c r="N56" s="175">
        <v>0</v>
      </c>
      <c r="O56" s="175">
        <v>0</v>
      </c>
      <c r="P56" s="175">
        <v>0</v>
      </c>
    </row>
    <row r="57" spans="1:16" ht="22.5">
      <c r="A57" s="609"/>
      <c r="B57" s="572"/>
      <c r="C57" s="572"/>
      <c r="D57" s="572"/>
      <c r="E57" s="611"/>
      <c r="F57" s="178" t="s">
        <v>123</v>
      </c>
      <c r="G57" s="177">
        <f t="shared" si="22"/>
        <v>684.49517300000002</v>
      </c>
      <c r="H57" s="175">
        <v>567.21122300000002</v>
      </c>
      <c r="I57" s="175">
        <v>117.28395</v>
      </c>
      <c r="J57" s="245">
        <v>0</v>
      </c>
      <c r="K57" s="175">
        <v>0</v>
      </c>
      <c r="L57" s="175">
        <v>0</v>
      </c>
      <c r="M57" s="175">
        <v>0</v>
      </c>
      <c r="N57" s="175">
        <v>0</v>
      </c>
      <c r="O57" s="175">
        <v>0</v>
      </c>
      <c r="P57" s="175">
        <v>0</v>
      </c>
    </row>
    <row r="58" spans="1:16" ht="22.5">
      <c r="A58" s="609"/>
      <c r="B58" s="572"/>
      <c r="C58" s="572"/>
      <c r="D58" s="572"/>
      <c r="E58" s="611"/>
      <c r="F58" s="178" t="s">
        <v>147</v>
      </c>
      <c r="G58" s="177">
        <f t="shared" si="22"/>
        <v>5582.79</v>
      </c>
      <c r="H58" s="175">
        <v>4682.79</v>
      </c>
      <c r="I58" s="175">
        <v>900</v>
      </c>
      <c r="J58" s="245">
        <v>0</v>
      </c>
      <c r="K58" s="175">
        <v>0</v>
      </c>
      <c r="L58" s="175">
        <v>0</v>
      </c>
      <c r="M58" s="175">
        <v>0</v>
      </c>
      <c r="N58" s="175">
        <v>0</v>
      </c>
      <c r="O58" s="175">
        <v>0</v>
      </c>
      <c r="P58" s="175">
        <v>0</v>
      </c>
    </row>
    <row r="59" spans="1:16" ht="39.75" customHeight="1">
      <c r="A59" s="613"/>
      <c r="B59" s="580"/>
      <c r="C59" s="580"/>
      <c r="D59" s="580"/>
      <c r="E59" s="612"/>
      <c r="F59" s="178" t="s">
        <v>88</v>
      </c>
      <c r="G59" s="177">
        <f t="shared" si="22"/>
        <v>6267.2851730000002</v>
      </c>
      <c r="H59" s="175">
        <f>H56</f>
        <v>5250.0012230000002</v>
      </c>
      <c r="I59" s="175">
        <f>I56</f>
        <v>1017.28395</v>
      </c>
      <c r="J59" s="245">
        <f>J56</f>
        <v>0</v>
      </c>
      <c r="K59" s="175">
        <v>0</v>
      </c>
      <c r="L59" s="175">
        <v>0</v>
      </c>
      <c r="M59" s="175">
        <v>0</v>
      </c>
      <c r="N59" s="175">
        <v>0</v>
      </c>
      <c r="O59" s="175">
        <v>0</v>
      </c>
      <c r="P59" s="175">
        <v>0</v>
      </c>
    </row>
    <row r="60" spans="1:16">
      <c r="A60" s="608" t="s">
        <v>83</v>
      </c>
      <c r="B60" s="571" t="s">
        <v>143</v>
      </c>
      <c r="C60" s="571" t="s">
        <v>15</v>
      </c>
      <c r="D60" s="571" t="s">
        <v>29</v>
      </c>
      <c r="E60" s="610" t="s">
        <v>489</v>
      </c>
      <c r="F60" s="178" t="s">
        <v>111</v>
      </c>
      <c r="G60" s="177">
        <f t="shared" si="22"/>
        <v>19734.76802</v>
      </c>
      <c r="H60" s="175">
        <v>6250</v>
      </c>
      <c r="I60" s="175">
        <f>I61+I62</f>
        <v>13484.76802</v>
      </c>
      <c r="J60" s="245">
        <f>J61+J62</f>
        <v>0</v>
      </c>
      <c r="K60" s="175">
        <v>0</v>
      </c>
      <c r="L60" s="175">
        <v>0</v>
      </c>
      <c r="M60" s="175">
        <v>0</v>
      </c>
      <c r="N60" s="175">
        <v>0</v>
      </c>
      <c r="O60" s="175">
        <v>0</v>
      </c>
      <c r="P60" s="175">
        <v>0</v>
      </c>
    </row>
    <row r="61" spans="1:16">
      <c r="A61" s="609"/>
      <c r="B61" s="572"/>
      <c r="C61" s="572"/>
      <c r="D61" s="572"/>
      <c r="E61" s="611"/>
      <c r="F61" s="178" t="s">
        <v>124</v>
      </c>
      <c r="G61" s="177">
        <f t="shared" si="22"/>
        <v>1406.12123</v>
      </c>
      <c r="H61" s="175">
        <v>1000.0212299999999</v>
      </c>
      <c r="I61" s="175">
        <v>406.1</v>
      </c>
      <c r="J61" s="245">
        <v>0</v>
      </c>
      <c r="K61" s="175">
        <v>0</v>
      </c>
      <c r="L61" s="175">
        <v>0</v>
      </c>
      <c r="M61" s="175">
        <v>0</v>
      </c>
      <c r="N61" s="175">
        <v>0</v>
      </c>
      <c r="O61" s="175">
        <v>0</v>
      </c>
      <c r="P61" s="175">
        <v>0</v>
      </c>
    </row>
    <row r="62" spans="1:16" ht="22.5">
      <c r="A62" s="609"/>
      <c r="B62" s="572"/>
      <c r="C62" s="572"/>
      <c r="D62" s="572"/>
      <c r="E62" s="611"/>
      <c r="F62" s="178" t="s">
        <v>148</v>
      </c>
      <c r="G62" s="177">
        <f t="shared" si="22"/>
        <v>18328.642220000002</v>
      </c>
      <c r="H62" s="175">
        <f>H63+H64</f>
        <v>5249.9742000000006</v>
      </c>
      <c r="I62" s="175">
        <f>I63+I64</f>
        <v>13078.668019999999</v>
      </c>
      <c r="J62" s="245">
        <f>J63+J64</f>
        <v>0</v>
      </c>
      <c r="K62" s="175">
        <v>0</v>
      </c>
      <c r="L62" s="175">
        <v>0</v>
      </c>
      <c r="M62" s="175">
        <v>0</v>
      </c>
      <c r="N62" s="175">
        <v>0</v>
      </c>
      <c r="O62" s="175">
        <v>0</v>
      </c>
      <c r="P62" s="175">
        <v>0</v>
      </c>
    </row>
    <row r="63" spans="1:16" ht="22.5">
      <c r="A63" s="609"/>
      <c r="B63" s="572"/>
      <c r="C63" s="572"/>
      <c r="D63" s="572"/>
      <c r="E63" s="611"/>
      <c r="F63" s="178" t="s">
        <v>123</v>
      </c>
      <c r="G63" s="177">
        <f t="shared" si="22"/>
        <v>544.72221999999999</v>
      </c>
      <c r="H63" s="175">
        <v>449.46420000000001</v>
      </c>
      <c r="I63" s="175">
        <v>95.258020000000002</v>
      </c>
      <c r="J63" s="245">
        <v>0</v>
      </c>
      <c r="K63" s="175">
        <v>0</v>
      </c>
      <c r="L63" s="175">
        <v>0</v>
      </c>
      <c r="M63" s="175">
        <v>0</v>
      </c>
      <c r="N63" s="175">
        <v>0</v>
      </c>
      <c r="O63" s="175">
        <v>0</v>
      </c>
      <c r="P63" s="175">
        <v>0</v>
      </c>
    </row>
    <row r="64" spans="1:16" ht="22.5">
      <c r="A64" s="609"/>
      <c r="B64" s="572"/>
      <c r="C64" s="572"/>
      <c r="D64" s="572"/>
      <c r="E64" s="611"/>
      <c r="F64" s="178" t="s">
        <v>147</v>
      </c>
      <c r="G64" s="177">
        <f t="shared" si="22"/>
        <v>17783.919999999998</v>
      </c>
      <c r="H64" s="175">
        <v>4800.51</v>
      </c>
      <c r="I64" s="175">
        <v>12983.41</v>
      </c>
      <c r="J64" s="245">
        <v>0</v>
      </c>
      <c r="K64" s="175">
        <v>0</v>
      </c>
      <c r="L64" s="175">
        <v>0</v>
      </c>
      <c r="M64" s="175">
        <v>0</v>
      </c>
      <c r="N64" s="175">
        <v>0</v>
      </c>
      <c r="O64" s="175">
        <v>0</v>
      </c>
      <c r="P64" s="175">
        <v>0</v>
      </c>
    </row>
    <row r="65" spans="1:16" ht="22.5">
      <c r="A65" s="613"/>
      <c r="B65" s="580"/>
      <c r="C65" s="580"/>
      <c r="D65" s="580"/>
      <c r="E65" s="612"/>
      <c r="F65" s="178" t="s">
        <v>426</v>
      </c>
      <c r="G65" s="177">
        <f t="shared" si="22"/>
        <v>18328.642220000002</v>
      </c>
      <c r="H65" s="175">
        <f>H62</f>
        <v>5249.9742000000006</v>
      </c>
      <c r="I65" s="175">
        <f>I62</f>
        <v>13078.668019999999</v>
      </c>
      <c r="J65" s="245">
        <f>J62</f>
        <v>0</v>
      </c>
      <c r="K65" s="175">
        <v>0</v>
      </c>
      <c r="L65" s="175">
        <v>0</v>
      </c>
      <c r="M65" s="175">
        <v>0</v>
      </c>
      <c r="N65" s="175">
        <v>0</v>
      </c>
      <c r="O65" s="175">
        <v>0</v>
      </c>
      <c r="P65" s="175">
        <v>0</v>
      </c>
    </row>
    <row r="66" spans="1:16">
      <c r="A66" s="608" t="s">
        <v>83</v>
      </c>
      <c r="B66" s="571" t="s">
        <v>143</v>
      </c>
      <c r="C66" s="571" t="s">
        <v>15</v>
      </c>
      <c r="D66" s="571" t="s">
        <v>28</v>
      </c>
      <c r="E66" s="610" t="s">
        <v>497</v>
      </c>
      <c r="F66" s="178" t="s">
        <v>111</v>
      </c>
      <c r="G66" s="177">
        <f>H66+I66+J66+K66+L66+M66+N66+O66+P66</f>
        <v>130119.72739999999</v>
      </c>
      <c r="H66" s="175">
        <f>H67+H68</f>
        <v>10515.71723</v>
      </c>
      <c r="I66" s="175">
        <f>I67+I68</f>
        <v>10090.926169999999</v>
      </c>
      <c r="J66" s="245">
        <f>J67+J68+J69</f>
        <v>12733.5</v>
      </c>
      <c r="K66" s="245">
        <f>K67+K68</f>
        <v>2.2000000000000002</v>
      </c>
      <c r="L66" s="245">
        <f>L67+L68</f>
        <v>10230</v>
      </c>
      <c r="M66" s="245">
        <f>M67+M68</f>
        <v>10230</v>
      </c>
      <c r="N66" s="245">
        <f t="shared" ref="N66:P66" si="23">N67+N68</f>
        <v>25439.128000000001</v>
      </c>
      <c r="O66" s="245">
        <f t="shared" si="23"/>
        <v>25439.128000000001</v>
      </c>
      <c r="P66" s="245">
        <f t="shared" si="23"/>
        <v>25439.128000000001</v>
      </c>
    </row>
    <row r="67" spans="1:16">
      <c r="A67" s="609"/>
      <c r="B67" s="572"/>
      <c r="C67" s="572"/>
      <c r="D67" s="572"/>
      <c r="E67" s="611"/>
      <c r="F67" s="178" t="s">
        <v>124</v>
      </c>
      <c r="G67" s="177">
        <f t="shared" ref="G67:G71" si="24">H67+I67+J67+K67+L67+M67+N67+O67+P67</f>
        <v>2148.82809</v>
      </c>
      <c r="H67" s="175">
        <v>1323.02809</v>
      </c>
      <c r="I67" s="175">
        <v>825.8</v>
      </c>
      <c r="J67" s="245">
        <v>0</v>
      </c>
      <c r="K67" s="245">
        <v>0</v>
      </c>
      <c r="L67" s="245">
        <v>0</v>
      </c>
      <c r="M67" s="175">
        <v>0</v>
      </c>
      <c r="N67" s="175">
        <v>0</v>
      </c>
      <c r="O67" s="175">
        <v>0</v>
      </c>
      <c r="P67" s="175">
        <v>0</v>
      </c>
    </row>
    <row r="68" spans="1:16" ht="22.5">
      <c r="A68" s="609"/>
      <c r="B68" s="572"/>
      <c r="C68" s="572"/>
      <c r="D68" s="572"/>
      <c r="E68" s="611"/>
      <c r="F68" s="178" t="s">
        <v>148</v>
      </c>
      <c r="G68" s="177">
        <f t="shared" si="24"/>
        <v>127970.89930999999</v>
      </c>
      <c r="H68" s="175">
        <f>H69+H70</f>
        <v>9192.6891400000004</v>
      </c>
      <c r="I68" s="175">
        <f>SUM(I69:I70)</f>
        <v>9265.1261699999995</v>
      </c>
      <c r="J68" s="245">
        <v>12733.5</v>
      </c>
      <c r="K68" s="245">
        <f>SUM(K69:K70)</f>
        <v>2.2000000000000002</v>
      </c>
      <c r="L68" s="245">
        <f>SUM(L69:L70)</f>
        <v>10230</v>
      </c>
      <c r="M68" s="245">
        <f>SUM(M69:M70)</f>
        <v>10230</v>
      </c>
      <c r="N68" s="245">
        <f t="shared" ref="N68:P68" si="25">SUM(N69:N70)</f>
        <v>25439.128000000001</v>
      </c>
      <c r="O68" s="245">
        <f t="shared" si="25"/>
        <v>25439.128000000001</v>
      </c>
      <c r="P68" s="245">
        <f t="shared" si="25"/>
        <v>25439.128000000001</v>
      </c>
    </row>
    <row r="69" spans="1:16" ht="22.5">
      <c r="A69" s="609"/>
      <c r="B69" s="572"/>
      <c r="C69" s="572"/>
      <c r="D69" s="572"/>
      <c r="E69" s="611"/>
      <c r="F69" s="178" t="s">
        <v>123</v>
      </c>
      <c r="G69" s="177">
        <f t="shared" si="24"/>
        <v>788.34730999999988</v>
      </c>
      <c r="H69" s="175">
        <v>594.64113999999995</v>
      </c>
      <c r="I69" s="175">
        <v>193.70616999999999</v>
      </c>
      <c r="J69" s="245">
        <v>0</v>
      </c>
      <c r="K69" s="245">
        <v>0</v>
      </c>
      <c r="L69" s="245">
        <v>0</v>
      </c>
      <c r="M69" s="175">
        <v>0</v>
      </c>
      <c r="N69" s="175">
        <v>0</v>
      </c>
      <c r="O69" s="175">
        <v>0</v>
      </c>
      <c r="P69" s="175">
        <v>0</v>
      </c>
    </row>
    <row r="70" spans="1:16" ht="27" customHeight="1">
      <c r="A70" s="609"/>
      <c r="B70" s="572"/>
      <c r="C70" s="572"/>
      <c r="D70" s="572"/>
      <c r="E70" s="611"/>
      <c r="F70" s="178" t="s">
        <v>147</v>
      </c>
      <c r="G70" s="177">
        <f t="shared" si="24"/>
        <v>127182.552</v>
      </c>
      <c r="H70" s="175">
        <f>8901.44-201.2-102.192</f>
        <v>8598.0480000000007</v>
      </c>
      <c r="I70" s="175">
        <v>9071.42</v>
      </c>
      <c r="J70" s="245">
        <f>J71</f>
        <v>12733.5</v>
      </c>
      <c r="K70" s="245">
        <f>K71</f>
        <v>2.2000000000000002</v>
      </c>
      <c r="L70" s="245">
        <v>10230</v>
      </c>
      <c r="M70" s="175">
        <v>10230</v>
      </c>
      <c r="N70" s="175">
        <v>25439.128000000001</v>
      </c>
      <c r="O70" s="175">
        <v>25439.128000000001</v>
      </c>
      <c r="P70" s="175">
        <v>25439.128000000001</v>
      </c>
    </row>
    <row r="71" spans="1:16" ht="34.5" customHeight="1">
      <c r="A71" s="613"/>
      <c r="B71" s="580"/>
      <c r="C71" s="580"/>
      <c r="D71" s="580"/>
      <c r="E71" s="612"/>
      <c r="F71" s="178" t="s">
        <v>233</v>
      </c>
      <c r="G71" s="177">
        <f t="shared" si="24"/>
        <v>127970.89930999999</v>
      </c>
      <c r="H71" s="175">
        <f>H68</f>
        <v>9192.6891400000004</v>
      </c>
      <c r="I71" s="175">
        <f>I70+I69</f>
        <v>9265.1261699999995</v>
      </c>
      <c r="J71" s="245">
        <v>12733.5</v>
      </c>
      <c r="K71" s="245">
        <v>2.2000000000000002</v>
      </c>
      <c r="L71" s="245">
        <v>10230</v>
      </c>
      <c r="M71" s="175">
        <v>10230</v>
      </c>
      <c r="N71" s="175">
        <v>25439.128000000001</v>
      </c>
      <c r="O71" s="175">
        <v>25439.128000000001</v>
      </c>
      <c r="P71" s="175">
        <v>25439.128000000001</v>
      </c>
    </row>
    <row r="72" spans="1:16">
      <c r="A72" s="608" t="s">
        <v>83</v>
      </c>
      <c r="B72" s="571" t="s">
        <v>143</v>
      </c>
      <c r="C72" s="571" t="s">
        <v>15</v>
      </c>
      <c r="D72" s="571" t="s">
        <v>13</v>
      </c>
      <c r="E72" s="610" t="s">
        <v>491</v>
      </c>
      <c r="F72" s="178" t="s">
        <v>111</v>
      </c>
      <c r="G72" s="177">
        <f t="shared" si="22"/>
        <v>13550.333049999999</v>
      </c>
      <c r="H72" s="175">
        <f>SUM(H73:H74)</f>
        <v>12501.32</v>
      </c>
      <c r="I72" s="175">
        <f>I73+I74</f>
        <v>1049.01305</v>
      </c>
      <c r="J72" s="245">
        <f>J73+J74</f>
        <v>0</v>
      </c>
      <c r="K72" s="175">
        <v>0</v>
      </c>
      <c r="L72" s="175">
        <v>0</v>
      </c>
      <c r="M72" s="175">
        <v>0</v>
      </c>
      <c r="N72" s="175">
        <v>0</v>
      </c>
      <c r="O72" s="175">
        <v>0</v>
      </c>
      <c r="P72" s="175">
        <v>0</v>
      </c>
    </row>
    <row r="73" spans="1:16">
      <c r="A73" s="609"/>
      <c r="B73" s="572"/>
      <c r="C73" s="572"/>
      <c r="D73" s="572"/>
      <c r="E73" s="611"/>
      <c r="F73" s="178" t="s">
        <v>124</v>
      </c>
      <c r="G73" s="177">
        <f t="shared" si="22"/>
        <v>2630.7146600000001</v>
      </c>
      <c r="H73" s="175">
        <v>1781.01466</v>
      </c>
      <c r="I73" s="175">
        <v>849.7</v>
      </c>
      <c r="J73" s="245">
        <v>0</v>
      </c>
      <c r="K73" s="175">
        <v>0</v>
      </c>
      <c r="L73" s="175">
        <v>0</v>
      </c>
      <c r="M73" s="175">
        <v>0</v>
      </c>
      <c r="N73" s="175">
        <v>0</v>
      </c>
      <c r="O73" s="175">
        <v>0</v>
      </c>
      <c r="P73" s="175">
        <v>0</v>
      </c>
    </row>
    <row r="74" spans="1:16" ht="22.5">
      <c r="A74" s="609"/>
      <c r="B74" s="572"/>
      <c r="C74" s="572"/>
      <c r="D74" s="572"/>
      <c r="E74" s="611"/>
      <c r="F74" s="178" t="s">
        <v>148</v>
      </c>
      <c r="G74" s="177">
        <f t="shared" si="22"/>
        <v>10919.61839</v>
      </c>
      <c r="H74" s="175">
        <f>H75+H76</f>
        <v>10720.305339999999</v>
      </c>
      <c r="I74" s="175">
        <f>I75+I76</f>
        <v>199.31305</v>
      </c>
      <c r="J74" s="245">
        <f>J75+J76</f>
        <v>0</v>
      </c>
      <c r="K74" s="175">
        <v>0</v>
      </c>
      <c r="L74" s="175">
        <v>0</v>
      </c>
      <c r="M74" s="175">
        <v>0</v>
      </c>
      <c r="N74" s="175">
        <v>0</v>
      </c>
      <c r="O74" s="175">
        <v>0</v>
      </c>
      <c r="P74" s="175">
        <v>0</v>
      </c>
    </row>
    <row r="75" spans="1:16" ht="22.5">
      <c r="A75" s="609"/>
      <c r="B75" s="572"/>
      <c r="C75" s="572"/>
      <c r="D75" s="572"/>
      <c r="E75" s="611"/>
      <c r="F75" s="178" t="s">
        <v>123</v>
      </c>
      <c r="G75" s="177">
        <f t="shared" si="22"/>
        <v>999.79838999999993</v>
      </c>
      <c r="H75" s="175">
        <v>800.48533999999995</v>
      </c>
      <c r="I75" s="175">
        <v>199.31305</v>
      </c>
      <c r="J75" s="245">
        <v>0</v>
      </c>
      <c r="K75" s="175">
        <v>0</v>
      </c>
      <c r="L75" s="175">
        <v>0</v>
      </c>
      <c r="M75" s="175">
        <v>0</v>
      </c>
      <c r="N75" s="175">
        <v>0</v>
      </c>
      <c r="O75" s="175">
        <v>0</v>
      </c>
      <c r="P75" s="175">
        <v>0</v>
      </c>
    </row>
    <row r="76" spans="1:16" ht="22.5">
      <c r="A76" s="609"/>
      <c r="B76" s="572"/>
      <c r="C76" s="572"/>
      <c r="D76" s="572"/>
      <c r="E76" s="611"/>
      <c r="F76" s="178" t="s">
        <v>147</v>
      </c>
      <c r="G76" s="177">
        <f t="shared" si="22"/>
        <v>9919.82</v>
      </c>
      <c r="H76" s="175">
        <f>10194.5-274.68</f>
        <v>9919.82</v>
      </c>
      <c r="I76" s="175">
        <v>0</v>
      </c>
      <c r="J76" s="245">
        <v>0</v>
      </c>
      <c r="K76" s="175">
        <v>0</v>
      </c>
      <c r="L76" s="175">
        <v>0</v>
      </c>
      <c r="M76" s="175">
        <v>0</v>
      </c>
      <c r="N76" s="175">
        <v>0</v>
      </c>
      <c r="O76" s="175">
        <v>0</v>
      </c>
      <c r="P76" s="175">
        <v>0</v>
      </c>
    </row>
    <row r="77" spans="1:16" ht="22.5">
      <c r="A77" s="609"/>
      <c r="B77" s="572"/>
      <c r="C77" s="572"/>
      <c r="D77" s="572"/>
      <c r="E77" s="611"/>
      <c r="F77" s="178" t="s">
        <v>260</v>
      </c>
      <c r="G77" s="177">
        <f t="shared" si="22"/>
        <v>199.31305</v>
      </c>
      <c r="H77" s="175">
        <v>0</v>
      </c>
      <c r="I77" s="175">
        <f>I75</f>
        <v>199.31305</v>
      </c>
      <c r="J77" s="245">
        <f>J75+J76</f>
        <v>0</v>
      </c>
      <c r="K77" s="175">
        <v>0</v>
      </c>
      <c r="L77" s="175">
        <v>0</v>
      </c>
      <c r="M77" s="175">
        <v>0</v>
      </c>
      <c r="N77" s="175">
        <v>0</v>
      </c>
      <c r="O77" s="175">
        <v>0</v>
      </c>
      <c r="P77" s="175">
        <v>0</v>
      </c>
    </row>
    <row r="78" spans="1:16" ht="22.5">
      <c r="A78" s="613"/>
      <c r="B78" s="580"/>
      <c r="C78" s="580"/>
      <c r="D78" s="580"/>
      <c r="E78" s="612"/>
      <c r="F78" s="178" t="s">
        <v>89</v>
      </c>
      <c r="G78" s="177">
        <f>H78</f>
        <v>10720.305339999999</v>
      </c>
      <c r="H78" s="175">
        <f>H74</f>
        <v>10720.305339999999</v>
      </c>
      <c r="I78" s="334" t="s">
        <v>182</v>
      </c>
      <c r="J78" s="305" t="s">
        <v>182</v>
      </c>
      <c r="K78" s="179" t="s">
        <v>182</v>
      </c>
      <c r="L78" s="179" t="s">
        <v>182</v>
      </c>
      <c r="M78" s="179" t="s">
        <v>182</v>
      </c>
      <c r="N78" s="179" t="s">
        <v>182</v>
      </c>
      <c r="O78" s="179" t="s">
        <v>182</v>
      </c>
      <c r="P78" s="179" t="s">
        <v>182</v>
      </c>
    </row>
    <row r="79" spans="1:16">
      <c r="A79" s="608" t="s">
        <v>83</v>
      </c>
      <c r="B79" s="571" t="s">
        <v>143</v>
      </c>
      <c r="C79" s="571" t="s">
        <v>15</v>
      </c>
      <c r="D79" s="571" t="s">
        <v>30</v>
      </c>
      <c r="E79" s="610" t="s">
        <v>492</v>
      </c>
      <c r="F79" s="178" t="s">
        <v>111</v>
      </c>
      <c r="G79" s="177">
        <f t="shared" ref="G79:G110" si="26">H79+I79+J79+K79+L79+M79</f>
        <v>2781.7475300000001</v>
      </c>
      <c r="H79" s="175">
        <v>1917.55</v>
      </c>
      <c r="I79" s="175">
        <f>I80+I81</f>
        <v>864.19753000000003</v>
      </c>
      <c r="J79" s="245">
        <f>J80+J81</f>
        <v>0</v>
      </c>
      <c r="K79" s="175">
        <v>0</v>
      </c>
      <c r="L79" s="175">
        <v>0</v>
      </c>
      <c r="M79" s="175">
        <v>0</v>
      </c>
      <c r="N79" s="175">
        <v>0</v>
      </c>
      <c r="O79" s="175">
        <v>0</v>
      </c>
      <c r="P79" s="175">
        <v>0</v>
      </c>
    </row>
    <row r="80" spans="1:16">
      <c r="A80" s="609"/>
      <c r="B80" s="572"/>
      <c r="C80" s="572"/>
      <c r="D80" s="572"/>
      <c r="E80" s="611"/>
      <c r="F80" s="178" t="s">
        <v>124</v>
      </c>
      <c r="G80" s="177">
        <f t="shared" si="26"/>
        <v>2022.9458299999999</v>
      </c>
      <c r="H80" s="175">
        <v>1322.9458299999999</v>
      </c>
      <c r="I80" s="175">
        <v>700</v>
      </c>
      <c r="J80" s="245">
        <v>0</v>
      </c>
      <c r="K80" s="175">
        <v>0</v>
      </c>
      <c r="L80" s="175">
        <v>0</v>
      </c>
      <c r="M80" s="175">
        <v>0</v>
      </c>
      <c r="N80" s="175">
        <v>0</v>
      </c>
      <c r="O80" s="175">
        <v>0</v>
      </c>
      <c r="P80" s="175">
        <v>0</v>
      </c>
    </row>
    <row r="81" spans="1:16" ht="22.5">
      <c r="A81" s="609"/>
      <c r="B81" s="572"/>
      <c r="C81" s="572"/>
      <c r="D81" s="572"/>
      <c r="E81" s="611"/>
      <c r="F81" s="178" t="s">
        <v>148</v>
      </c>
      <c r="G81" s="177">
        <f t="shared" si="26"/>
        <v>758.80169999999998</v>
      </c>
      <c r="H81" s="175">
        <f>H82+H83</f>
        <v>594.60416999999995</v>
      </c>
      <c r="I81" s="175">
        <f>I82+I83</f>
        <v>164.19753</v>
      </c>
      <c r="J81" s="245">
        <f>J82+J83</f>
        <v>0</v>
      </c>
      <c r="K81" s="175">
        <v>0</v>
      </c>
      <c r="L81" s="175">
        <v>0</v>
      </c>
      <c r="M81" s="175">
        <v>0</v>
      </c>
      <c r="N81" s="175">
        <v>0</v>
      </c>
      <c r="O81" s="175">
        <v>0</v>
      </c>
      <c r="P81" s="175">
        <v>0</v>
      </c>
    </row>
    <row r="82" spans="1:16" ht="22.5">
      <c r="A82" s="609"/>
      <c r="B82" s="572"/>
      <c r="C82" s="572"/>
      <c r="D82" s="572"/>
      <c r="E82" s="611"/>
      <c r="F82" s="178" t="s">
        <v>123</v>
      </c>
      <c r="G82" s="177">
        <f t="shared" si="26"/>
        <v>758.80169999999998</v>
      </c>
      <c r="H82" s="175">
        <v>594.60416999999995</v>
      </c>
      <c r="I82" s="175">
        <v>164.19753</v>
      </c>
      <c r="J82" s="245">
        <v>0</v>
      </c>
      <c r="K82" s="175">
        <v>0</v>
      </c>
      <c r="L82" s="175">
        <v>0</v>
      </c>
      <c r="M82" s="175">
        <v>0</v>
      </c>
      <c r="N82" s="175">
        <v>0</v>
      </c>
      <c r="O82" s="175">
        <v>0</v>
      </c>
      <c r="P82" s="175">
        <v>0</v>
      </c>
    </row>
    <row r="83" spans="1:16" s="167" customFormat="1" ht="22.5">
      <c r="A83" s="609"/>
      <c r="B83" s="572"/>
      <c r="C83" s="572"/>
      <c r="D83" s="572"/>
      <c r="E83" s="611"/>
      <c r="F83" s="178" t="s">
        <v>147</v>
      </c>
      <c r="G83" s="177">
        <f t="shared" si="26"/>
        <v>0</v>
      </c>
      <c r="H83" s="175">
        <v>0</v>
      </c>
      <c r="I83" s="175">
        <v>0</v>
      </c>
      <c r="J83" s="245">
        <v>0</v>
      </c>
      <c r="K83" s="175">
        <v>0</v>
      </c>
      <c r="L83" s="175">
        <v>0</v>
      </c>
      <c r="M83" s="175">
        <v>0</v>
      </c>
      <c r="N83" s="175">
        <v>0</v>
      </c>
      <c r="O83" s="175">
        <v>0</v>
      </c>
      <c r="P83" s="175">
        <v>0</v>
      </c>
    </row>
    <row r="84" spans="1:16" ht="30.75" customHeight="1">
      <c r="A84" s="613"/>
      <c r="B84" s="580"/>
      <c r="C84" s="580"/>
      <c r="D84" s="580"/>
      <c r="E84" s="612"/>
      <c r="F84" s="178" t="s">
        <v>170</v>
      </c>
      <c r="G84" s="177">
        <f t="shared" si="26"/>
        <v>758.80169999999998</v>
      </c>
      <c r="H84" s="175">
        <f>H81</f>
        <v>594.60416999999995</v>
      </c>
      <c r="I84" s="175">
        <f>I81</f>
        <v>164.19753</v>
      </c>
      <c r="J84" s="245">
        <f>J81</f>
        <v>0</v>
      </c>
      <c r="K84" s="175">
        <v>0</v>
      </c>
      <c r="L84" s="175">
        <v>0</v>
      </c>
      <c r="M84" s="175">
        <v>0</v>
      </c>
      <c r="N84" s="175">
        <v>0</v>
      </c>
      <c r="O84" s="175">
        <v>0</v>
      </c>
      <c r="P84" s="175">
        <v>0</v>
      </c>
    </row>
    <row r="85" spans="1:16">
      <c r="A85" s="608" t="s">
        <v>83</v>
      </c>
      <c r="B85" s="571" t="s">
        <v>143</v>
      </c>
      <c r="C85" s="571" t="s">
        <v>15</v>
      </c>
      <c r="D85" s="571" t="s">
        <v>31</v>
      </c>
      <c r="E85" s="610" t="s">
        <v>498</v>
      </c>
      <c r="F85" s="178" t="s">
        <v>111</v>
      </c>
      <c r="G85" s="177">
        <f t="shared" si="26"/>
        <v>5199.6899999999996</v>
      </c>
      <c r="H85" s="175">
        <f t="shared" ref="H85:P85" si="27">H86</f>
        <v>4999.6899999999996</v>
      </c>
      <c r="I85" s="175">
        <f t="shared" si="27"/>
        <v>0</v>
      </c>
      <c r="J85" s="245">
        <f t="shared" si="27"/>
        <v>200</v>
      </c>
      <c r="K85" s="175">
        <f t="shared" si="27"/>
        <v>0</v>
      </c>
      <c r="L85" s="175">
        <f t="shared" si="27"/>
        <v>0</v>
      </c>
      <c r="M85" s="175">
        <f t="shared" si="27"/>
        <v>0</v>
      </c>
      <c r="N85" s="175">
        <f t="shared" si="27"/>
        <v>0</v>
      </c>
      <c r="O85" s="175">
        <f t="shared" si="27"/>
        <v>0</v>
      </c>
      <c r="P85" s="175">
        <f t="shared" si="27"/>
        <v>0</v>
      </c>
    </row>
    <row r="86" spans="1:16" ht="40.5" customHeight="1">
      <c r="A86" s="609"/>
      <c r="B86" s="572"/>
      <c r="C86" s="572"/>
      <c r="D86" s="572"/>
      <c r="E86" s="611"/>
      <c r="F86" s="178" t="s">
        <v>148</v>
      </c>
      <c r="G86" s="177">
        <f t="shared" si="26"/>
        <v>5199.6899999999996</v>
      </c>
      <c r="H86" s="175">
        <v>4999.6899999999996</v>
      </c>
      <c r="I86" s="175">
        <v>0</v>
      </c>
      <c r="J86" s="245">
        <f>J87</f>
        <v>200</v>
      </c>
      <c r="K86" s="175">
        <v>0</v>
      </c>
      <c r="L86" s="175">
        <v>0</v>
      </c>
      <c r="M86" s="175">
        <v>0</v>
      </c>
      <c r="N86" s="175">
        <v>0</v>
      </c>
      <c r="O86" s="175">
        <v>0</v>
      </c>
      <c r="P86" s="175">
        <v>0</v>
      </c>
    </row>
    <row r="87" spans="1:16" ht="173.25" customHeight="1">
      <c r="A87" s="613"/>
      <c r="B87" s="580"/>
      <c r="C87" s="580"/>
      <c r="D87" s="580"/>
      <c r="E87" s="612"/>
      <c r="F87" s="178" t="s">
        <v>233</v>
      </c>
      <c r="G87" s="177">
        <f t="shared" si="26"/>
        <v>5199.6899999999996</v>
      </c>
      <c r="H87" s="175">
        <v>4999.6899999999996</v>
      </c>
      <c r="I87" s="175">
        <v>0</v>
      </c>
      <c r="J87" s="245">
        <v>200</v>
      </c>
      <c r="K87" s="175">
        <v>0</v>
      </c>
      <c r="L87" s="175">
        <v>0</v>
      </c>
      <c r="M87" s="175">
        <v>0</v>
      </c>
      <c r="N87" s="175">
        <v>0</v>
      </c>
      <c r="O87" s="175">
        <v>0</v>
      </c>
      <c r="P87" s="175">
        <v>0</v>
      </c>
    </row>
    <row r="88" spans="1:16" ht="15" customHeight="1">
      <c r="A88" s="608" t="s">
        <v>83</v>
      </c>
      <c r="B88" s="571" t="s">
        <v>143</v>
      </c>
      <c r="C88" s="571" t="s">
        <v>15</v>
      </c>
      <c r="D88" s="571" t="s">
        <v>52</v>
      </c>
      <c r="E88" s="610" t="s">
        <v>90</v>
      </c>
      <c r="F88" s="178" t="s">
        <v>111</v>
      </c>
      <c r="G88" s="177">
        <f t="shared" ref="G88:G93" si="28">H88+I88+J88+K88+L88+M88</f>
        <v>1130.5720000000001</v>
      </c>
      <c r="H88" s="175">
        <v>268.14999999999998</v>
      </c>
      <c r="I88" s="175">
        <f>I89+I90</f>
        <v>713.2</v>
      </c>
      <c r="J88" s="245">
        <f>J89+J90</f>
        <v>149.22200000000001</v>
      </c>
      <c r="K88" s="175">
        <v>0</v>
      </c>
      <c r="L88" s="175">
        <v>0</v>
      </c>
      <c r="M88" s="175">
        <v>0</v>
      </c>
      <c r="N88" s="175">
        <v>0</v>
      </c>
      <c r="O88" s="175">
        <v>0</v>
      </c>
      <c r="P88" s="175">
        <v>0</v>
      </c>
    </row>
    <row r="89" spans="1:16">
      <c r="A89" s="609"/>
      <c r="B89" s="572"/>
      <c r="C89" s="572"/>
      <c r="D89" s="572"/>
      <c r="E89" s="611"/>
      <c r="F89" s="178" t="s">
        <v>124</v>
      </c>
      <c r="G89" s="177">
        <f t="shared" si="28"/>
        <v>272.20060999999998</v>
      </c>
      <c r="H89" s="175">
        <v>185.00060999999999</v>
      </c>
      <c r="I89" s="175">
        <v>87.2</v>
      </c>
      <c r="J89" s="245">
        <v>0</v>
      </c>
      <c r="K89" s="175">
        <v>0</v>
      </c>
      <c r="L89" s="175">
        <v>0</v>
      </c>
      <c r="M89" s="175">
        <v>0</v>
      </c>
      <c r="N89" s="175">
        <v>0</v>
      </c>
      <c r="O89" s="175">
        <v>0</v>
      </c>
      <c r="P89" s="175">
        <v>0</v>
      </c>
    </row>
    <row r="90" spans="1:16" ht="22.5">
      <c r="A90" s="609"/>
      <c r="B90" s="572"/>
      <c r="C90" s="572"/>
      <c r="D90" s="572"/>
      <c r="E90" s="611"/>
      <c r="F90" s="178" t="s">
        <v>148</v>
      </c>
      <c r="G90" s="177">
        <f t="shared" si="28"/>
        <v>858.37139000000002</v>
      </c>
      <c r="H90" s="175">
        <f>H91+H92</f>
        <v>83.149389999999997</v>
      </c>
      <c r="I90" s="175">
        <f>I91+I92</f>
        <v>626</v>
      </c>
      <c r="J90" s="245">
        <f>J91+J92</f>
        <v>149.22200000000001</v>
      </c>
      <c r="K90" s="175">
        <v>0</v>
      </c>
      <c r="L90" s="175">
        <v>0</v>
      </c>
      <c r="M90" s="175">
        <v>0</v>
      </c>
      <c r="N90" s="175">
        <v>0</v>
      </c>
      <c r="O90" s="175">
        <v>0</v>
      </c>
      <c r="P90" s="175">
        <v>0</v>
      </c>
    </row>
    <row r="91" spans="1:16" ht="22.5">
      <c r="A91" s="609"/>
      <c r="B91" s="572"/>
      <c r="C91" s="572"/>
      <c r="D91" s="572"/>
      <c r="E91" s="611"/>
      <c r="F91" s="178" t="s">
        <v>123</v>
      </c>
      <c r="G91" s="177">
        <f t="shared" si="28"/>
        <v>103.60370999999999</v>
      </c>
      <c r="H91" s="175">
        <v>83.149389999999997</v>
      </c>
      <c r="I91" s="175">
        <v>20.454319999999999</v>
      </c>
      <c r="J91" s="245">
        <v>0</v>
      </c>
      <c r="K91" s="175">
        <v>0</v>
      </c>
      <c r="L91" s="175">
        <v>0</v>
      </c>
      <c r="M91" s="175">
        <v>0</v>
      </c>
      <c r="N91" s="175">
        <v>0</v>
      </c>
      <c r="O91" s="175">
        <v>0</v>
      </c>
      <c r="P91" s="175">
        <v>0</v>
      </c>
    </row>
    <row r="92" spans="1:16" ht="22.5">
      <c r="A92" s="609"/>
      <c r="B92" s="572"/>
      <c r="C92" s="572"/>
      <c r="D92" s="572"/>
      <c r="E92" s="611"/>
      <c r="F92" s="178" t="s">
        <v>147</v>
      </c>
      <c r="G92" s="177">
        <f t="shared" si="28"/>
        <v>754.76767999999993</v>
      </c>
      <c r="H92" s="175">
        <v>0</v>
      </c>
      <c r="I92" s="175">
        <f>164.54568+441</f>
        <v>605.54567999999995</v>
      </c>
      <c r="J92" s="245">
        <v>149.22200000000001</v>
      </c>
      <c r="K92" s="175">
        <v>0</v>
      </c>
      <c r="L92" s="175">
        <v>0</v>
      </c>
      <c r="M92" s="175">
        <v>0</v>
      </c>
      <c r="N92" s="175">
        <v>0</v>
      </c>
      <c r="O92" s="175">
        <v>0</v>
      </c>
      <c r="P92" s="175">
        <v>0</v>
      </c>
    </row>
    <row r="93" spans="1:16" ht="22.5">
      <c r="A93" s="613"/>
      <c r="B93" s="580"/>
      <c r="C93" s="580"/>
      <c r="D93" s="580"/>
      <c r="E93" s="612"/>
      <c r="F93" s="178" t="s">
        <v>92</v>
      </c>
      <c r="G93" s="177">
        <f t="shared" si="28"/>
        <v>858.37139000000002</v>
      </c>
      <c r="H93" s="175">
        <f>H90</f>
        <v>83.149389999999997</v>
      </c>
      <c r="I93" s="175">
        <f>I90</f>
        <v>626</v>
      </c>
      <c r="J93" s="245">
        <f>J90</f>
        <v>149.22200000000001</v>
      </c>
      <c r="K93" s="175">
        <v>0</v>
      </c>
      <c r="L93" s="175">
        <v>0</v>
      </c>
      <c r="M93" s="175">
        <v>0</v>
      </c>
      <c r="N93" s="175">
        <v>0</v>
      </c>
      <c r="O93" s="175">
        <v>0</v>
      </c>
      <c r="P93" s="175">
        <v>0</v>
      </c>
    </row>
    <row r="94" spans="1:16">
      <c r="A94" s="608" t="s">
        <v>83</v>
      </c>
      <c r="B94" s="608" t="s">
        <v>143</v>
      </c>
      <c r="C94" s="608" t="s">
        <v>15</v>
      </c>
      <c r="D94" s="608" t="s">
        <v>205</v>
      </c>
      <c r="E94" s="610" t="s">
        <v>204</v>
      </c>
      <c r="F94" s="178" t="s">
        <v>111</v>
      </c>
      <c r="G94" s="177">
        <f t="shared" ref="G94:G99" si="29">I94+J94+K94+L94+M94</f>
        <v>36357.700000000004</v>
      </c>
      <c r="H94" s="175" t="s">
        <v>182</v>
      </c>
      <c r="I94" s="175">
        <f>I95+I96</f>
        <v>7147.7999999999993</v>
      </c>
      <c r="J94" s="245">
        <f>J95+J96</f>
        <v>6508.6</v>
      </c>
      <c r="K94" s="245">
        <f>K95+K96</f>
        <v>22701.300000000003</v>
      </c>
      <c r="L94" s="175">
        <v>0</v>
      </c>
      <c r="M94" s="175">
        <v>0</v>
      </c>
      <c r="N94" s="175">
        <v>0</v>
      </c>
      <c r="O94" s="175">
        <v>0</v>
      </c>
      <c r="P94" s="175">
        <v>0</v>
      </c>
    </row>
    <row r="95" spans="1:16">
      <c r="A95" s="609"/>
      <c r="B95" s="609"/>
      <c r="C95" s="609"/>
      <c r="D95" s="609"/>
      <c r="E95" s="611"/>
      <c r="F95" s="178" t="s">
        <v>124</v>
      </c>
      <c r="G95" s="177">
        <f t="shared" si="29"/>
        <v>22144.400000000001</v>
      </c>
      <c r="H95" s="175" t="s">
        <v>182</v>
      </c>
      <c r="I95" s="175">
        <v>4541.7</v>
      </c>
      <c r="J95" s="245">
        <v>3902.5</v>
      </c>
      <c r="K95" s="175">
        <v>13700.2</v>
      </c>
      <c r="L95" s="175">
        <v>0</v>
      </c>
      <c r="M95" s="175">
        <v>0</v>
      </c>
      <c r="N95" s="175">
        <v>0</v>
      </c>
      <c r="O95" s="175">
        <v>0</v>
      </c>
      <c r="P95" s="175">
        <v>0</v>
      </c>
    </row>
    <row r="96" spans="1:16" ht="22.5">
      <c r="A96" s="609"/>
      <c r="B96" s="609"/>
      <c r="C96" s="609"/>
      <c r="D96" s="609"/>
      <c r="E96" s="611"/>
      <c r="F96" s="178" t="s">
        <v>148</v>
      </c>
      <c r="G96" s="177">
        <f t="shared" si="29"/>
        <v>14213.3</v>
      </c>
      <c r="H96" s="175" t="s">
        <v>182</v>
      </c>
      <c r="I96" s="175">
        <v>2606.1</v>
      </c>
      <c r="J96" s="245">
        <v>2606.1</v>
      </c>
      <c r="K96" s="175">
        <v>9001.1</v>
      </c>
      <c r="L96" s="175">
        <v>0</v>
      </c>
      <c r="M96" s="175">
        <v>0</v>
      </c>
      <c r="N96" s="175">
        <v>0</v>
      </c>
      <c r="O96" s="175">
        <v>0</v>
      </c>
      <c r="P96" s="175">
        <v>0</v>
      </c>
    </row>
    <row r="97" spans="1:16" ht="22.5">
      <c r="A97" s="609"/>
      <c r="B97" s="609"/>
      <c r="C97" s="609"/>
      <c r="D97" s="609"/>
      <c r="E97" s="611"/>
      <c r="F97" s="178" t="s">
        <v>123</v>
      </c>
      <c r="G97" s="177">
        <f t="shared" si="29"/>
        <v>14213.3</v>
      </c>
      <c r="H97" s="175" t="s">
        <v>182</v>
      </c>
      <c r="I97" s="175">
        <v>2606.1</v>
      </c>
      <c r="J97" s="245">
        <v>2606.1</v>
      </c>
      <c r="K97" s="175">
        <v>9001.1</v>
      </c>
      <c r="L97" s="175">
        <v>0</v>
      </c>
      <c r="M97" s="175">
        <v>0</v>
      </c>
      <c r="N97" s="175">
        <v>0</v>
      </c>
      <c r="O97" s="175">
        <v>0</v>
      </c>
      <c r="P97" s="175">
        <v>0</v>
      </c>
    </row>
    <row r="98" spans="1:16" ht="22.5">
      <c r="A98" s="609"/>
      <c r="B98" s="609"/>
      <c r="C98" s="609"/>
      <c r="D98" s="609"/>
      <c r="E98" s="611"/>
      <c r="F98" s="178" t="s">
        <v>147</v>
      </c>
      <c r="G98" s="177">
        <f t="shared" si="29"/>
        <v>0</v>
      </c>
      <c r="H98" s="175" t="s">
        <v>182</v>
      </c>
      <c r="I98" s="175">
        <v>0</v>
      </c>
      <c r="J98" s="245">
        <v>0</v>
      </c>
      <c r="K98" s="175">
        <v>0</v>
      </c>
      <c r="L98" s="175">
        <v>0</v>
      </c>
      <c r="M98" s="175">
        <v>0</v>
      </c>
      <c r="N98" s="175">
        <v>0</v>
      </c>
      <c r="O98" s="175">
        <v>0</v>
      </c>
      <c r="P98" s="175">
        <v>0</v>
      </c>
    </row>
    <row r="99" spans="1:16" ht="33.75">
      <c r="A99" s="613"/>
      <c r="B99" s="613"/>
      <c r="C99" s="613"/>
      <c r="D99" s="613"/>
      <c r="E99" s="612"/>
      <c r="F99" s="178" t="s">
        <v>88</v>
      </c>
      <c r="G99" s="177">
        <f t="shared" si="29"/>
        <v>14213.3</v>
      </c>
      <c r="H99" s="175" t="s">
        <v>182</v>
      </c>
      <c r="I99" s="175">
        <v>2606.1</v>
      </c>
      <c r="J99" s="245">
        <v>2606.1</v>
      </c>
      <c r="K99" s="175">
        <v>9001.1</v>
      </c>
      <c r="L99" s="175">
        <v>0</v>
      </c>
      <c r="M99" s="175">
        <v>0</v>
      </c>
      <c r="N99" s="175">
        <v>0</v>
      </c>
      <c r="O99" s="175">
        <v>0</v>
      </c>
      <c r="P99" s="175">
        <v>0</v>
      </c>
    </row>
    <row r="100" spans="1:16" ht="27" customHeight="1">
      <c r="A100" s="8" t="s">
        <v>83</v>
      </c>
      <c r="B100" s="9" t="s">
        <v>143</v>
      </c>
      <c r="C100" s="9" t="s">
        <v>16</v>
      </c>
      <c r="D100" s="9"/>
      <c r="E100" s="621" t="s">
        <v>91</v>
      </c>
      <c r="F100" s="622"/>
      <c r="G100" s="177">
        <f t="shared" ref="G100:H100" si="30">SUM(G101,G107,G112,G120)</f>
        <v>15763.532870000001</v>
      </c>
      <c r="H100" s="177">
        <f t="shared" si="30"/>
        <v>5801.3</v>
      </c>
      <c r="I100" s="177">
        <f>SUM(I101,I107,I112,I120)</f>
        <v>7022.7328700000007</v>
      </c>
      <c r="J100" s="177">
        <f t="shared" ref="J100:P100" si="31">SUM(J101,J107,J112,J120)</f>
        <v>2939.5</v>
      </c>
      <c r="K100" s="177">
        <f t="shared" si="31"/>
        <v>0</v>
      </c>
      <c r="L100" s="177">
        <f t="shared" si="31"/>
        <v>0</v>
      </c>
      <c r="M100" s="177">
        <f t="shared" si="31"/>
        <v>0</v>
      </c>
      <c r="N100" s="177">
        <f t="shared" si="31"/>
        <v>0</v>
      </c>
      <c r="O100" s="177">
        <f t="shared" si="31"/>
        <v>0</v>
      </c>
      <c r="P100" s="177">
        <f t="shared" si="31"/>
        <v>0</v>
      </c>
    </row>
    <row r="101" spans="1:16">
      <c r="A101" s="608" t="s">
        <v>83</v>
      </c>
      <c r="B101" s="571" t="s">
        <v>143</v>
      </c>
      <c r="C101" s="571" t="s">
        <v>16</v>
      </c>
      <c r="D101" s="571" t="s">
        <v>15</v>
      </c>
      <c r="E101" s="610" t="s">
        <v>493</v>
      </c>
      <c r="F101" s="178" t="s">
        <v>111</v>
      </c>
      <c r="G101" s="177">
        <f t="shared" si="26"/>
        <v>4766.3557899999996</v>
      </c>
      <c r="H101" s="175">
        <v>689.52</v>
      </c>
      <c r="I101" s="175">
        <f>I102+I103</f>
        <v>4076.8357900000001</v>
      </c>
      <c r="J101" s="245">
        <f>J102+J103</f>
        <v>0</v>
      </c>
      <c r="K101" s="175">
        <v>0</v>
      </c>
      <c r="L101" s="175">
        <v>0</v>
      </c>
      <c r="M101" s="175">
        <v>0</v>
      </c>
      <c r="N101" s="175">
        <v>0</v>
      </c>
      <c r="O101" s="175">
        <v>0</v>
      </c>
      <c r="P101" s="175">
        <v>0</v>
      </c>
    </row>
    <row r="102" spans="1:16">
      <c r="A102" s="609"/>
      <c r="B102" s="572"/>
      <c r="C102" s="572"/>
      <c r="D102" s="572"/>
      <c r="E102" s="611"/>
      <c r="F102" s="178" t="s">
        <v>124</v>
      </c>
      <c r="G102" s="177">
        <f t="shared" si="26"/>
        <v>668.61009999999999</v>
      </c>
      <c r="H102" s="175">
        <v>475.71010000000001</v>
      </c>
      <c r="I102" s="175">
        <v>192.9</v>
      </c>
      <c r="J102" s="245">
        <v>0</v>
      </c>
      <c r="K102" s="175">
        <v>0</v>
      </c>
      <c r="L102" s="175">
        <v>0</v>
      </c>
      <c r="M102" s="175">
        <v>0</v>
      </c>
      <c r="N102" s="175">
        <v>0</v>
      </c>
      <c r="O102" s="175">
        <v>0</v>
      </c>
      <c r="P102" s="175">
        <v>0</v>
      </c>
    </row>
    <row r="103" spans="1:16" ht="22.5">
      <c r="A103" s="609"/>
      <c r="B103" s="572"/>
      <c r="C103" s="572"/>
      <c r="D103" s="572"/>
      <c r="E103" s="611"/>
      <c r="F103" s="178" t="s">
        <v>148</v>
      </c>
      <c r="G103" s="177">
        <f t="shared" si="26"/>
        <v>4097.7459099999996</v>
      </c>
      <c r="H103" s="175">
        <f>H104+H105</f>
        <v>213.81012000000001</v>
      </c>
      <c r="I103" s="175">
        <f>I104+I105</f>
        <v>3883.93579</v>
      </c>
      <c r="J103" s="245">
        <f>J104+J105</f>
        <v>0</v>
      </c>
      <c r="K103" s="175">
        <v>0</v>
      </c>
      <c r="L103" s="175">
        <v>0</v>
      </c>
      <c r="M103" s="175">
        <v>0</v>
      </c>
      <c r="N103" s="175">
        <v>0</v>
      </c>
      <c r="O103" s="175">
        <v>0</v>
      </c>
      <c r="P103" s="175">
        <v>0</v>
      </c>
    </row>
    <row r="104" spans="1:16" ht="22.5">
      <c r="A104" s="609"/>
      <c r="B104" s="572"/>
      <c r="C104" s="572"/>
      <c r="D104" s="572"/>
      <c r="E104" s="611"/>
      <c r="F104" s="178" t="s">
        <v>123</v>
      </c>
      <c r="G104" s="177">
        <f t="shared" si="26"/>
        <v>259.05826999999999</v>
      </c>
      <c r="H104" s="175">
        <v>213.81012000000001</v>
      </c>
      <c r="I104" s="175">
        <v>45.248150000000003</v>
      </c>
      <c r="J104" s="245">
        <v>0</v>
      </c>
      <c r="K104" s="175">
        <v>0</v>
      </c>
      <c r="L104" s="175">
        <v>0</v>
      </c>
      <c r="M104" s="175">
        <v>0</v>
      </c>
      <c r="N104" s="175">
        <v>0</v>
      </c>
      <c r="O104" s="175">
        <v>0</v>
      </c>
      <c r="P104" s="175">
        <v>0</v>
      </c>
    </row>
    <row r="105" spans="1:16" ht="22.5">
      <c r="A105" s="609"/>
      <c r="B105" s="572"/>
      <c r="C105" s="572"/>
      <c r="D105" s="572"/>
      <c r="E105" s="611"/>
      <c r="F105" s="178" t="s">
        <v>147</v>
      </c>
      <c r="G105" s="177">
        <f t="shared" si="26"/>
        <v>3838.6876400000001</v>
      </c>
      <c r="H105" s="175">
        <v>0</v>
      </c>
      <c r="I105" s="175">
        <v>3838.6876400000001</v>
      </c>
      <c r="J105" s="245">
        <v>0</v>
      </c>
      <c r="K105" s="175">
        <v>0</v>
      </c>
      <c r="L105" s="175">
        <v>0</v>
      </c>
      <c r="M105" s="175">
        <v>0</v>
      </c>
      <c r="N105" s="175">
        <v>0</v>
      </c>
      <c r="O105" s="175">
        <v>0</v>
      </c>
      <c r="P105" s="175">
        <v>0</v>
      </c>
    </row>
    <row r="106" spans="1:16" ht="22.5">
      <c r="A106" s="613"/>
      <c r="B106" s="580"/>
      <c r="C106" s="580"/>
      <c r="D106" s="580"/>
      <c r="E106" s="612"/>
      <c r="F106" s="178" t="s">
        <v>426</v>
      </c>
      <c r="G106" s="177">
        <f t="shared" si="26"/>
        <v>4097.7459099999996</v>
      </c>
      <c r="H106" s="175">
        <f>H103</f>
        <v>213.81012000000001</v>
      </c>
      <c r="I106" s="175">
        <f>I103</f>
        <v>3883.93579</v>
      </c>
      <c r="J106" s="245">
        <f>J103</f>
        <v>0</v>
      </c>
      <c r="K106" s="175">
        <v>0</v>
      </c>
      <c r="L106" s="175">
        <v>0</v>
      </c>
      <c r="M106" s="175">
        <v>0</v>
      </c>
      <c r="N106" s="175">
        <v>0</v>
      </c>
      <c r="O106" s="175">
        <v>0</v>
      </c>
      <c r="P106" s="175">
        <v>0</v>
      </c>
    </row>
    <row r="107" spans="1:16">
      <c r="A107" s="608" t="s">
        <v>83</v>
      </c>
      <c r="B107" s="571" t="s">
        <v>143</v>
      </c>
      <c r="C107" s="571" t="s">
        <v>16</v>
      </c>
      <c r="D107" s="571" t="s">
        <v>16</v>
      </c>
      <c r="E107" s="610" t="s">
        <v>499</v>
      </c>
      <c r="F107" s="178" t="s">
        <v>111</v>
      </c>
      <c r="G107" s="177">
        <f t="shared" si="26"/>
        <v>5744.9400000000005</v>
      </c>
      <c r="H107" s="175">
        <f>H109</f>
        <v>3122.31</v>
      </c>
      <c r="I107" s="175">
        <f>SUM(I109,I108)</f>
        <v>1499.13</v>
      </c>
      <c r="J107" s="245">
        <f>SUM(J109,J108)</f>
        <v>1123.5</v>
      </c>
      <c r="K107" s="175">
        <v>0</v>
      </c>
      <c r="L107" s="175">
        <v>0</v>
      </c>
      <c r="M107" s="175">
        <v>0</v>
      </c>
      <c r="N107" s="175">
        <v>0</v>
      </c>
      <c r="O107" s="175">
        <v>0</v>
      </c>
      <c r="P107" s="175">
        <v>0</v>
      </c>
    </row>
    <row r="108" spans="1:16">
      <c r="A108" s="609"/>
      <c r="B108" s="572"/>
      <c r="C108" s="572"/>
      <c r="D108" s="572"/>
      <c r="E108" s="611"/>
      <c r="F108" s="178" t="s">
        <v>124</v>
      </c>
      <c r="G108" s="177">
        <f t="shared" si="26"/>
        <v>0</v>
      </c>
      <c r="H108" s="175">
        <v>0</v>
      </c>
      <c r="I108" s="175">
        <v>0</v>
      </c>
      <c r="J108" s="245">
        <v>0</v>
      </c>
      <c r="K108" s="175">
        <v>0</v>
      </c>
      <c r="L108" s="175">
        <v>0</v>
      </c>
      <c r="M108" s="175">
        <v>0</v>
      </c>
      <c r="N108" s="175">
        <v>0</v>
      </c>
      <c r="O108" s="175">
        <v>0</v>
      </c>
      <c r="P108" s="175">
        <v>0</v>
      </c>
    </row>
    <row r="109" spans="1:16" ht="22.5">
      <c r="A109" s="609"/>
      <c r="B109" s="572"/>
      <c r="C109" s="572"/>
      <c r="D109" s="572"/>
      <c r="E109" s="611"/>
      <c r="F109" s="178" t="s">
        <v>148</v>
      </c>
      <c r="G109" s="177">
        <f t="shared" si="26"/>
        <v>5744.9400000000005</v>
      </c>
      <c r="H109" s="175">
        <f>3125.63-1.92-1.4</f>
        <v>3122.31</v>
      </c>
      <c r="I109" s="175">
        <v>1499.13</v>
      </c>
      <c r="J109" s="245">
        <f>J110</f>
        <v>1123.5</v>
      </c>
      <c r="K109" s="175">
        <v>0</v>
      </c>
      <c r="L109" s="175">
        <v>0</v>
      </c>
      <c r="M109" s="175">
        <v>0</v>
      </c>
      <c r="N109" s="175">
        <v>0</v>
      </c>
      <c r="O109" s="175">
        <v>0</v>
      </c>
      <c r="P109" s="175">
        <v>0</v>
      </c>
    </row>
    <row r="110" spans="1:16" ht="51.75" customHeight="1">
      <c r="A110" s="613"/>
      <c r="B110" s="580"/>
      <c r="C110" s="580"/>
      <c r="D110" s="580"/>
      <c r="E110" s="612"/>
      <c r="F110" s="178" t="s">
        <v>233</v>
      </c>
      <c r="G110" s="177">
        <f t="shared" si="26"/>
        <v>5745.14</v>
      </c>
      <c r="H110" s="175">
        <f>3125.63-1.92-1.2</f>
        <v>3122.51</v>
      </c>
      <c r="I110" s="175">
        <v>1499.13</v>
      </c>
      <c r="J110" s="245">
        <v>1123.5</v>
      </c>
      <c r="K110" s="175">
        <v>0</v>
      </c>
      <c r="L110" s="175">
        <v>0</v>
      </c>
      <c r="M110" s="175">
        <v>0</v>
      </c>
      <c r="N110" s="175">
        <v>0</v>
      </c>
      <c r="O110" s="175">
        <v>0</v>
      </c>
      <c r="P110" s="175">
        <v>0</v>
      </c>
    </row>
    <row r="111" spans="1:16">
      <c r="A111" s="608" t="s">
        <v>83</v>
      </c>
      <c r="B111" s="571" t="s">
        <v>143</v>
      </c>
      <c r="C111" s="571" t="s">
        <v>16</v>
      </c>
      <c r="D111" s="571" t="s">
        <v>17</v>
      </c>
      <c r="E111" s="610" t="s">
        <v>93</v>
      </c>
      <c r="F111" s="178" t="s">
        <v>111</v>
      </c>
      <c r="G111" s="177">
        <f>J111+K111+L111+M111</f>
        <v>1816</v>
      </c>
      <c r="H111" s="175">
        <f t="shared" ref="H111:P111" si="32">H112</f>
        <v>1900</v>
      </c>
      <c r="I111" s="175">
        <f t="shared" si="32"/>
        <v>1416.84</v>
      </c>
      <c r="J111" s="245">
        <f t="shared" si="32"/>
        <v>1816</v>
      </c>
      <c r="K111" s="175">
        <f t="shared" si="32"/>
        <v>0</v>
      </c>
      <c r="L111" s="175">
        <f t="shared" si="32"/>
        <v>0</v>
      </c>
      <c r="M111" s="175">
        <f t="shared" si="32"/>
        <v>0</v>
      </c>
      <c r="N111" s="175">
        <f t="shared" si="32"/>
        <v>0</v>
      </c>
      <c r="O111" s="175">
        <f t="shared" si="32"/>
        <v>0</v>
      </c>
      <c r="P111" s="175">
        <f t="shared" si="32"/>
        <v>0</v>
      </c>
    </row>
    <row r="112" spans="1:16" ht="22.5" customHeight="1">
      <c r="A112" s="609"/>
      <c r="B112" s="572"/>
      <c r="C112" s="572"/>
      <c r="D112" s="572"/>
      <c r="E112" s="611"/>
      <c r="F112" s="178" t="s">
        <v>148</v>
      </c>
      <c r="G112" s="177">
        <f>H112+I112+J112+K112+L112+M112</f>
        <v>5132.84</v>
      </c>
      <c r="H112" s="175">
        <f>1500+120+30+45+100+35+70</f>
        <v>1900</v>
      </c>
      <c r="I112" s="175">
        <v>1416.84</v>
      </c>
      <c r="J112" s="245">
        <f>J113</f>
        <v>1816</v>
      </c>
      <c r="K112" s="175">
        <v>0</v>
      </c>
      <c r="L112" s="175">
        <v>0</v>
      </c>
      <c r="M112" s="175">
        <v>0</v>
      </c>
      <c r="N112" s="175">
        <v>0</v>
      </c>
      <c r="O112" s="175">
        <v>0</v>
      </c>
      <c r="P112" s="175">
        <v>0</v>
      </c>
    </row>
    <row r="113" spans="1:16" ht="22.5">
      <c r="A113" s="613"/>
      <c r="B113" s="580"/>
      <c r="C113" s="580"/>
      <c r="D113" s="580"/>
      <c r="E113" s="612"/>
      <c r="F113" s="178" t="s">
        <v>233</v>
      </c>
      <c r="G113" s="177">
        <f>H113+I113+J113+K113+L113+M113</f>
        <v>5132.84</v>
      </c>
      <c r="H113" s="175">
        <v>1900</v>
      </c>
      <c r="I113" s="175">
        <v>1416.84</v>
      </c>
      <c r="J113" s="245">
        <v>1816</v>
      </c>
      <c r="K113" s="175">
        <v>0</v>
      </c>
      <c r="L113" s="175">
        <v>0</v>
      </c>
      <c r="M113" s="175">
        <v>0</v>
      </c>
      <c r="N113" s="175">
        <v>0</v>
      </c>
      <c r="O113" s="175">
        <v>0</v>
      </c>
      <c r="P113" s="175">
        <v>0</v>
      </c>
    </row>
    <row r="114" spans="1:16">
      <c r="A114" s="608" t="s">
        <v>83</v>
      </c>
      <c r="B114" s="571" t="s">
        <v>143</v>
      </c>
      <c r="C114" s="571" t="s">
        <v>16</v>
      </c>
      <c r="D114" s="571" t="s">
        <v>18</v>
      </c>
      <c r="E114" s="610" t="s">
        <v>94</v>
      </c>
      <c r="F114" s="178" t="s">
        <v>111</v>
      </c>
      <c r="G114" s="177">
        <f t="shared" ref="G114:G119" si="33">J114+K114+L114+M114</f>
        <v>0</v>
      </c>
      <c r="H114" s="175" t="s">
        <v>182</v>
      </c>
      <c r="I114" s="175">
        <f t="shared" ref="I114:P114" si="34">I115</f>
        <v>0</v>
      </c>
      <c r="J114" s="245">
        <f t="shared" si="34"/>
        <v>0</v>
      </c>
      <c r="K114" s="175">
        <f t="shared" si="34"/>
        <v>0</v>
      </c>
      <c r="L114" s="175">
        <f t="shared" si="34"/>
        <v>0</v>
      </c>
      <c r="M114" s="175">
        <f t="shared" si="34"/>
        <v>0</v>
      </c>
      <c r="N114" s="175">
        <f t="shared" si="34"/>
        <v>0</v>
      </c>
      <c r="O114" s="175">
        <f t="shared" si="34"/>
        <v>0</v>
      </c>
      <c r="P114" s="175">
        <f t="shared" si="34"/>
        <v>0</v>
      </c>
    </row>
    <row r="115" spans="1:16" ht="22.5" customHeight="1">
      <c r="A115" s="609"/>
      <c r="B115" s="572"/>
      <c r="C115" s="572"/>
      <c r="D115" s="572"/>
      <c r="E115" s="611"/>
      <c r="F115" s="178" t="s">
        <v>148</v>
      </c>
      <c r="G115" s="177">
        <f t="shared" si="33"/>
        <v>0</v>
      </c>
      <c r="H115" s="175" t="s">
        <v>182</v>
      </c>
      <c r="I115" s="175">
        <v>0</v>
      </c>
      <c r="J115" s="245">
        <v>0</v>
      </c>
      <c r="K115" s="175">
        <v>0</v>
      </c>
      <c r="L115" s="175">
        <v>0</v>
      </c>
      <c r="M115" s="175">
        <v>0</v>
      </c>
      <c r="N115" s="175">
        <v>0</v>
      </c>
      <c r="O115" s="175">
        <v>0</v>
      </c>
      <c r="P115" s="175">
        <v>0</v>
      </c>
    </row>
    <row r="116" spans="1:16" ht="22.5">
      <c r="A116" s="613"/>
      <c r="B116" s="580"/>
      <c r="C116" s="580"/>
      <c r="D116" s="580"/>
      <c r="E116" s="612"/>
      <c r="F116" s="178" t="s">
        <v>233</v>
      </c>
      <c r="G116" s="177">
        <f t="shared" si="33"/>
        <v>0</v>
      </c>
      <c r="H116" s="175" t="s">
        <v>182</v>
      </c>
      <c r="I116" s="175">
        <v>0</v>
      </c>
      <c r="J116" s="245">
        <v>0</v>
      </c>
      <c r="K116" s="175">
        <v>0</v>
      </c>
      <c r="L116" s="175">
        <v>0</v>
      </c>
      <c r="M116" s="175">
        <v>0</v>
      </c>
      <c r="N116" s="175">
        <v>0</v>
      </c>
      <c r="O116" s="175">
        <v>0</v>
      </c>
      <c r="P116" s="175">
        <v>0</v>
      </c>
    </row>
    <row r="117" spans="1:16">
      <c r="A117" s="608" t="s">
        <v>83</v>
      </c>
      <c r="B117" s="571" t="s">
        <v>143</v>
      </c>
      <c r="C117" s="571" t="s">
        <v>16</v>
      </c>
      <c r="D117" s="571" t="s">
        <v>29</v>
      </c>
      <c r="E117" s="610" t="s">
        <v>96</v>
      </c>
      <c r="F117" s="178" t="s">
        <v>111</v>
      </c>
      <c r="G117" s="177">
        <f t="shared" si="33"/>
        <v>0</v>
      </c>
      <c r="H117" s="175" t="s">
        <v>182</v>
      </c>
      <c r="I117" s="175" t="s">
        <v>182</v>
      </c>
      <c r="J117" s="245">
        <f t="shared" ref="J117:P117" si="35">J118</f>
        <v>0</v>
      </c>
      <c r="K117" s="175">
        <f t="shared" si="35"/>
        <v>0</v>
      </c>
      <c r="L117" s="175">
        <f t="shared" si="35"/>
        <v>0</v>
      </c>
      <c r="M117" s="175">
        <f t="shared" si="35"/>
        <v>0</v>
      </c>
      <c r="N117" s="175">
        <f t="shared" si="35"/>
        <v>0</v>
      </c>
      <c r="O117" s="175">
        <f t="shared" si="35"/>
        <v>0</v>
      </c>
      <c r="P117" s="175">
        <f t="shared" si="35"/>
        <v>0</v>
      </c>
    </row>
    <row r="118" spans="1:16" ht="22.5" customHeight="1">
      <c r="A118" s="609"/>
      <c r="B118" s="572"/>
      <c r="C118" s="572"/>
      <c r="D118" s="572"/>
      <c r="E118" s="611"/>
      <c r="F118" s="178" t="s">
        <v>148</v>
      </c>
      <c r="G118" s="177">
        <f t="shared" si="33"/>
        <v>0</v>
      </c>
      <c r="H118" s="175" t="s">
        <v>182</v>
      </c>
      <c r="I118" s="175" t="s">
        <v>182</v>
      </c>
      <c r="J118" s="245">
        <v>0</v>
      </c>
      <c r="K118" s="175">
        <v>0</v>
      </c>
      <c r="L118" s="175">
        <v>0</v>
      </c>
      <c r="M118" s="175">
        <v>0</v>
      </c>
      <c r="N118" s="175">
        <v>0</v>
      </c>
      <c r="O118" s="175">
        <v>0</v>
      </c>
      <c r="P118" s="175">
        <v>0</v>
      </c>
    </row>
    <row r="119" spans="1:16" ht="32.25" customHeight="1">
      <c r="A119" s="613"/>
      <c r="B119" s="580"/>
      <c r="C119" s="580"/>
      <c r="D119" s="580"/>
      <c r="E119" s="612"/>
      <c r="F119" s="178" t="s">
        <v>233</v>
      </c>
      <c r="G119" s="177">
        <f t="shared" si="33"/>
        <v>0</v>
      </c>
      <c r="H119" s="175" t="s">
        <v>182</v>
      </c>
      <c r="I119" s="175" t="s">
        <v>182</v>
      </c>
      <c r="J119" s="245">
        <v>0</v>
      </c>
      <c r="K119" s="175">
        <v>0</v>
      </c>
      <c r="L119" s="175">
        <v>0</v>
      </c>
      <c r="M119" s="175">
        <v>0</v>
      </c>
      <c r="N119" s="175">
        <v>0</v>
      </c>
      <c r="O119" s="175">
        <v>0</v>
      </c>
      <c r="P119" s="175">
        <v>0</v>
      </c>
    </row>
    <row r="120" spans="1:16">
      <c r="A120" s="608" t="s">
        <v>83</v>
      </c>
      <c r="B120" s="571" t="s">
        <v>143</v>
      </c>
      <c r="C120" s="571" t="s">
        <v>16</v>
      </c>
      <c r="D120" s="571" t="s">
        <v>28</v>
      </c>
      <c r="E120" s="610" t="s">
        <v>97</v>
      </c>
      <c r="F120" s="178" t="s">
        <v>111</v>
      </c>
      <c r="G120" s="177">
        <f t="shared" ref="G120:G151" si="36">H120+I120+J120+K120+L120+M120</f>
        <v>119.39708</v>
      </c>
      <c r="H120" s="175">
        <v>89.47</v>
      </c>
      <c r="I120" s="175">
        <f>I121+I122</f>
        <v>29.92708</v>
      </c>
      <c r="J120" s="245">
        <f>J121+J122</f>
        <v>0</v>
      </c>
      <c r="K120" s="175">
        <v>0</v>
      </c>
      <c r="L120" s="175">
        <v>0</v>
      </c>
      <c r="M120" s="175">
        <v>0</v>
      </c>
      <c r="N120" s="175">
        <v>0</v>
      </c>
      <c r="O120" s="175">
        <v>0</v>
      </c>
      <c r="P120" s="175">
        <v>0</v>
      </c>
    </row>
    <row r="121" spans="1:16">
      <c r="A121" s="609"/>
      <c r="B121" s="572"/>
      <c r="C121" s="572"/>
      <c r="D121" s="572"/>
      <c r="E121" s="611"/>
      <c r="F121" s="178" t="s">
        <v>124</v>
      </c>
      <c r="G121" s="177">
        <f t="shared" si="36"/>
        <v>73.798109999999994</v>
      </c>
      <c r="H121" s="175">
        <v>49.998109999999997</v>
      </c>
      <c r="I121" s="175">
        <v>23.8</v>
      </c>
      <c r="J121" s="245">
        <v>0</v>
      </c>
      <c r="K121" s="175">
        <v>0</v>
      </c>
      <c r="L121" s="175">
        <v>0</v>
      </c>
      <c r="M121" s="175">
        <v>0</v>
      </c>
      <c r="N121" s="175">
        <v>0</v>
      </c>
      <c r="O121" s="175">
        <v>0</v>
      </c>
      <c r="P121" s="175">
        <v>0</v>
      </c>
    </row>
    <row r="122" spans="1:16" ht="22.5">
      <c r="A122" s="609"/>
      <c r="B122" s="572"/>
      <c r="C122" s="572"/>
      <c r="D122" s="572"/>
      <c r="E122" s="611"/>
      <c r="F122" s="178" t="s">
        <v>148</v>
      </c>
      <c r="G122" s="177">
        <f t="shared" si="36"/>
        <v>45.598970000000001</v>
      </c>
      <c r="H122" s="175">
        <f>H123+H124</f>
        <v>39.471890000000002</v>
      </c>
      <c r="I122" s="175">
        <f>I123+I124</f>
        <v>6.1270800000000003</v>
      </c>
      <c r="J122" s="245">
        <f>J123+J124</f>
        <v>0</v>
      </c>
      <c r="K122" s="175">
        <v>0</v>
      </c>
      <c r="L122" s="175">
        <v>0</v>
      </c>
      <c r="M122" s="175">
        <v>0</v>
      </c>
      <c r="N122" s="175">
        <v>0</v>
      </c>
      <c r="O122" s="175">
        <v>0</v>
      </c>
      <c r="P122" s="175">
        <v>0</v>
      </c>
    </row>
    <row r="123" spans="1:16" ht="22.5">
      <c r="A123" s="609"/>
      <c r="B123" s="572"/>
      <c r="C123" s="572"/>
      <c r="D123" s="572"/>
      <c r="E123" s="611"/>
      <c r="F123" s="178" t="s">
        <v>123</v>
      </c>
      <c r="G123" s="177">
        <f t="shared" si="36"/>
        <v>28.054609999999997</v>
      </c>
      <c r="H123" s="175">
        <v>22.471889999999998</v>
      </c>
      <c r="I123" s="175">
        <v>5.5827200000000001</v>
      </c>
      <c r="J123" s="245">
        <v>0</v>
      </c>
      <c r="K123" s="175">
        <v>0</v>
      </c>
      <c r="L123" s="175">
        <v>0</v>
      </c>
      <c r="M123" s="175">
        <v>0</v>
      </c>
      <c r="N123" s="175">
        <v>0</v>
      </c>
      <c r="O123" s="175">
        <v>0</v>
      </c>
      <c r="P123" s="175">
        <v>0</v>
      </c>
    </row>
    <row r="124" spans="1:16" ht="22.5">
      <c r="A124" s="609"/>
      <c r="B124" s="572"/>
      <c r="C124" s="572"/>
      <c r="D124" s="572"/>
      <c r="E124" s="611"/>
      <c r="F124" s="178" t="s">
        <v>147</v>
      </c>
      <c r="G124" s="177">
        <f t="shared" si="36"/>
        <v>17.544360000000001</v>
      </c>
      <c r="H124" s="175">
        <v>17</v>
      </c>
      <c r="I124" s="175">
        <v>0.54435999999999996</v>
      </c>
      <c r="J124" s="245">
        <v>0</v>
      </c>
      <c r="K124" s="175">
        <v>0</v>
      </c>
      <c r="L124" s="175">
        <v>0</v>
      </c>
      <c r="M124" s="175">
        <v>0</v>
      </c>
      <c r="N124" s="175">
        <v>0</v>
      </c>
      <c r="O124" s="175">
        <v>0</v>
      </c>
      <c r="P124" s="175">
        <v>0</v>
      </c>
    </row>
    <row r="125" spans="1:16" ht="22.5">
      <c r="A125" s="613"/>
      <c r="B125" s="580"/>
      <c r="C125" s="580"/>
      <c r="D125" s="580"/>
      <c r="E125" s="612"/>
      <c r="F125" s="178" t="s">
        <v>233</v>
      </c>
      <c r="G125" s="177">
        <f t="shared" si="36"/>
        <v>45.598970000000001</v>
      </c>
      <c r="H125" s="175">
        <f>H122</f>
        <v>39.471890000000002</v>
      </c>
      <c r="I125" s="175">
        <f>I122</f>
        <v>6.1270800000000003</v>
      </c>
      <c r="J125" s="245">
        <f>J122</f>
        <v>0</v>
      </c>
      <c r="K125" s="175">
        <v>0</v>
      </c>
      <c r="L125" s="175">
        <v>0</v>
      </c>
      <c r="M125" s="175">
        <v>0</v>
      </c>
      <c r="N125" s="175">
        <v>0</v>
      </c>
      <c r="O125" s="175">
        <v>0</v>
      </c>
      <c r="P125" s="175">
        <v>0</v>
      </c>
    </row>
    <row r="126" spans="1:16" ht="27" customHeight="1">
      <c r="A126" s="8" t="s">
        <v>83</v>
      </c>
      <c r="B126" s="9" t="s">
        <v>143</v>
      </c>
      <c r="C126" s="9" t="s">
        <v>17</v>
      </c>
      <c r="D126" s="9"/>
      <c r="E126" s="623" t="s">
        <v>98</v>
      </c>
      <c r="F126" s="624"/>
      <c r="G126" s="177">
        <f t="shared" si="36"/>
        <v>4304.2141599999995</v>
      </c>
      <c r="H126" s="177">
        <f>SUM(H127,H134,H137,H139)</f>
        <v>1937.2496000000001</v>
      </c>
      <c r="I126" s="177">
        <f>SUM(I127,I134,I137,I139,I145)</f>
        <v>1446.4645599999999</v>
      </c>
      <c r="J126" s="244">
        <f>SUM(J127,J134,J137,J139)</f>
        <v>920.5</v>
      </c>
      <c r="K126" s="177">
        <v>0</v>
      </c>
      <c r="L126" s="177">
        <v>0</v>
      </c>
      <c r="M126" s="177">
        <v>0</v>
      </c>
      <c r="N126" s="177">
        <v>0</v>
      </c>
      <c r="O126" s="177">
        <v>0</v>
      </c>
      <c r="P126" s="177">
        <v>0</v>
      </c>
    </row>
    <row r="127" spans="1:16">
      <c r="A127" s="608" t="s">
        <v>83</v>
      </c>
      <c r="B127" s="571" t="s">
        <v>143</v>
      </c>
      <c r="C127" s="571" t="s">
        <v>17</v>
      </c>
      <c r="D127" s="571" t="s">
        <v>15</v>
      </c>
      <c r="E127" s="610" t="s">
        <v>99</v>
      </c>
      <c r="F127" s="178" t="s">
        <v>111</v>
      </c>
      <c r="G127" s="177">
        <f t="shared" si="36"/>
        <v>498.6</v>
      </c>
      <c r="H127" s="175">
        <v>150</v>
      </c>
      <c r="I127" s="175">
        <f>I128+I129</f>
        <v>188.1</v>
      </c>
      <c r="J127" s="245">
        <f>J128+J129</f>
        <v>160.5</v>
      </c>
      <c r="K127" s="175">
        <v>0</v>
      </c>
      <c r="L127" s="175">
        <v>0</v>
      </c>
      <c r="M127" s="175">
        <v>0</v>
      </c>
      <c r="N127" s="175">
        <v>0</v>
      </c>
      <c r="O127" s="175">
        <v>0</v>
      </c>
      <c r="P127" s="175">
        <v>0</v>
      </c>
    </row>
    <row r="128" spans="1:16">
      <c r="A128" s="609"/>
      <c r="B128" s="572"/>
      <c r="C128" s="572"/>
      <c r="D128" s="572"/>
      <c r="E128" s="611"/>
      <c r="F128" s="178" t="s">
        <v>124</v>
      </c>
      <c r="G128" s="177">
        <f t="shared" si="36"/>
        <v>50.899369999999998</v>
      </c>
      <c r="H128" s="175">
        <f>69.99874/2</f>
        <v>34.999369999999999</v>
      </c>
      <c r="I128" s="175">
        <v>15.9</v>
      </c>
      <c r="J128" s="245">
        <v>0</v>
      </c>
      <c r="K128" s="175">
        <v>0</v>
      </c>
      <c r="L128" s="175">
        <v>0</v>
      </c>
      <c r="M128" s="175">
        <v>0</v>
      </c>
      <c r="N128" s="175">
        <v>0</v>
      </c>
      <c r="O128" s="175">
        <v>0</v>
      </c>
      <c r="P128" s="175">
        <v>0</v>
      </c>
    </row>
    <row r="129" spans="1:16" ht="22.5">
      <c r="A129" s="609"/>
      <c r="B129" s="572"/>
      <c r="C129" s="572"/>
      <c r="D129" s="572"/>
      <c r="E129" s="611"/>
      <c r="F129" s="178" t="s">
        <v>148</v>
      </c>
      <c r="G129" s="177">
        <f t="shared" si="36"/>
        <v>447.70062999999999</v>
      </c>
      <c r="H129" s="175">
        <f>H130+H131</f>
        <v>115.00063</v>
      </c>
      <c r="I129" s="175">
        <v>172.2</v>
      </c>
      <c r="J129" s="245">
        <f>J130+J131</f>
        <v>160.5</v>
      </c>
      <c r="K129" s="175">
        <v>0</v>
      </c>
      <c r="L129" s="175">
        <v>0</v>
      </c>
      <c r="M129" s="175">
        <v>0</v>
      </c>
      <c r="N129" s="175">
        <v>0</v>
      </c>
      <c r="O129" s="175">
        <v>0</v>
      </c>
      <c r="P129" s="175">
        <v>0</v>
      </c>
    </row>
    <row r="130" spans="1:16" ht="22.5">
      <c r="A130" s="609"/>
      <c r="B130" s="572"/>
      <c r="C130" s="572"/>
      <c r="D130" s="572"/>
      <c r="E130" s="611"/>
      <c r="F130" s="178" t="s">
        <v>123</v>
      </c>
      <c r="G130" s="177">
        <f t="shared" si="36"/>
        <v>19.460259999999998</v>
      </c>
      <c r="H130" s="175">
        <f>31.46126/2</f>
        <v>15.73063</v>
      </c>
      <c r="I130" s="175">
        <v>3.7296299999999998</v>
      </c>
      <c r="J130" s="245">
        <v>0</v>
      </c>
      <c r="K130" s="175">
        <v>0</v>
      </c>
      <c r="L130" s="175">
        <v>0</v>
      </c>
      <c r="M130" s="175">
        <v>0</v>
      </c>
      <c r="N130" s="175">
        <v>0</v>
      </c>
      <c r="O130" s="175">
        <v>0</v>
      </c>
      <c r="P130" s="175">
        <v>0</v>
      </c>
    </row>
    <row r="131" spans="1:16" ht="22.5">
      <c r="A131" s="609"/>
      <c r="B131" s="572"/>
      <c r="C131" s="572"/>
      <c r="D131" s="572"/>
      <c r="E131" s="611"/>
      <c r="F131" s="178" t="s">
        <v>147</v>
      </c>
      <c r="G131" s="177">
        <f t="shared" si="36"/>
        <v>428.24</v>
      </c>
      <c r="H131" s="175">
        <v>99.27</v>
      </c>
      <c r="I131" s="175">
        <v>168.47</v>
      </c>
      <c r="J131" s="245">
        <f>J132</f>
        <v>160.5</v>
      </c>
      <c r="K131" s="175">
        <v>0</v>
      </c>
      <c r="L131" s="175">
        <v>0</v>
      </c>
      <c r="M131" s="175">
        <v>0</v>
      </c>
      <c r="N131" s="175">
        <v>0</v>
      </c>
      <c r="O131" s="175">
        <v>0</v>
      </c>
      <c r="P131" s="175">
        <v>0</v>
      </c>
    </row>
    <row r="132" spans="1:16" ht="34.5" customHeight="1">
      <c r="A132" s="613"/>
      <c r="B132" s="580"/>
      <c r="C132" s="580"/>
      <c r="D132" s="580"/>
      <c r="E132" s="612"/>
      <c r="F132" s="178" t="s">
        <v>233</v>
      </c>
      <c r="G132" s="177">
        <f t="shared" si="36"/>
        <v>447.70062999999999</v>
      </c>
      <c r="H132" s="175">
        <f>H129</f>
        <v>115.00063</v>
      </c>
      <c r="I132" s="175">
        <f>I129</f>
        <v>172.2</v>
      </c>
      <c r="J132" s="245">
        <v>160.5</v>
      </c>
      <c r="K132" s="175">
        <v>0</v>
      </c>
      <c r="L132" s="175">
        <v>0</v>
      </c>
      <c r="M132" s="175">
        <v>0</v>
      </c>
      <c r="N132" s="175">
        <v>0</v>
      </c>
      <c r="O132" s="175">
        <v>0</v>
      </c>
      <c r="P132" s="175">
        <v>0</v>
      </c>
    </row>
    <row r="133" spans="1:16" ht="16.5" customHeight="1">
      <c r="A133" s="608" t="s">
        <v>83</v>
      </c>
      <c r="B133" s="571" t="s">
        <v>143</v>
      </c>
      <c r="C133" s="571" t="s">
        <v>17</v>
      </c>
      <c r="D133" s="571" t="s">
        <v>16</v>
      </c>
      <c r="E133" s="610" t="s">
        <v>100</v>
      </c>
      <c r="F133" s="178" t="s">
        <v>111</v>
      </c>
      <c r="G133" s="177">
        <f t="shared" si="36"/>
        <v>2246.5196000000001</v>
      </c>
      <c r="H133" s="175">
        <f t="shared" ref="H133:P133" si="37">H134</f>
        <v>1436.5196000000001</v>
      </c>
      <c r="I133" s="175">
        <f t="shared" si="37"/>
        <v>350</v>
      </c>
      <c r="J133" s="245">
        <f t="shared" si="37"/>
        <v>460</v>
      </c>
      <c r="K133" s="175">
        <f t="shared" si="37"/>
        <v>0</v>
      </c>
      <c r="L133" s="175">
        <f t="shared" si="37"/>
        <v>0</v>
      </c>
      <c r="M133" s="175">
        <f t="shared" si="37"/>
        <v>0</v>
      </c>
      <c r="N133" s="175">
        <f t="shared" si="37"/>
        <v>0</v>
      </c>
      <c r="O133" s="175">
        <f t="shared" si="37"/>
        <v>0</v>
      </c>
      <c r="P133" s="175">
        <f t="shared" si="37"/>
        <v>0</v>
      </c>
    </row>
    <row r="134" spans="1:16" ht="30.75" customHeight="1">
      <c r="A134" s="609"/>
      <c r="B134" s="572"/>
      <c r="C134" s="572"/>
      <c r="D134" s="572"/>
      <c r="E134" s="611"/>
      <c r="F134" s="178" t="s">
        <v>148</v>
      </c>
      <c r="G134" s="177">
        <f t="shared" si="36"/>
        <v>2246.5196000000001</v>
      </c>
      <c r="H134" s="175">
        <f>1421.27-1.7504+17</f>
        <v>1436.5196000000001</v>
      </c>
      <c r="I134" s="175">
        <f>I135</f>
        <v>350</v>
      </c>
      <c r="J134" s="245">
        <f>J135</f>
        <v>460</v>
      </c>
      <c r="K134" s="175">
        <v>0</v>
      </c>
      <c r="L134" s="175">
        <v>0</v>
      </c>
      <c r="M134" s="175">
        <v>0</v>
      </c>
      <c r="N134" s="175">
        <v>0</v>
      </c>
      <c r="O134" s="175">
        <v>0</v>
      </c>
      <c r="P134" s="175">
        <v>0</v>
      </c>
    </row>
    <row r="135" spans="1:16" ht="78.75" customHeight="1">
      <c r="A135" s="613"/>
      <c r="B135" s="580"/>
      <c r="C135" s="580"/>
      <c r="D135" s="580"/>
      <c r="E135" s="612"/>
      <c r="F135" s="178" t="s">
        <v>233</v>
      </c>
      <c r="G135" s="177">
        <f t="shared" si="36"/>
        <v>2246.5196000000001</v>
      </c>
      <c r="H135" s="175">
        <f>1421.27-1.7504+17</f>
        <v>1436.5196000000001</v>
      </c>
      <c r="I135" s="175">
        <v>350</v>
      </c>
      <c r="J135" s="245">
        <v>460</v>
      </c>
      <c r="K135" s="175">
        <v>0</v>
      </c>
      <c r="L135" s="175">
        <v>0</v>
      </c>
      <c r="M135" s="175">
        <v>0</v>
      </c>
      <c r="N135" s="175">
        <v>0</v>
      </c>
      <c r="O135" s="175">
        <v>0</v>
      </c>
      <c r="P135" s="175">
        <v>0</v>
      </c>
    </row>
    <row r="136" spans="1:16" ht="15" customHeight="1">
      <c r="A136" s="608" t="s">
        <v>83</v>
      </c>
      <c r="B136" s="571" t="s">
        <v>143</v>
      </c>
      <c r="C136" s="571" t="s">
        <v>17</v>
      </c>
      <c r="D136" s="571" t="s">
        <v>17</v>
      </c>
      <c r="E136" s="610" t="s">
        <v>186</v>
      </c>
      <c r="F136" s="178" t="s">
        <v>111</v>
      </c>
      <c r="G136" s="177">
        <f t="shared" si="36"/>
        <v>900</v>
      </c>
      <c r="H136" s="175">
        <f t="shared" ref="H136:P136" si="38">H137</f>
        <v>300</v>
      </c>
      <c r="I136" s="175">
        <f t="shared" si="38"/>
        <v>300</v>
      </c>
      <c r="J136" s="245">
        <f t="shared" si="38"/>
        <v>300</v>
      </c>
      <c r="K136" s="175">
        <f t="shared" si="38"/>
        <v>0</v>
      </c>
      <c r="L136" s="175">
        <f t="shared" si="38"/>
        <v>0</v>
      </c>
      <c r="M136" s="175">
        <f t="shared" si="38"/>
        <v>0</v>
      </c>
      <c r="N136" s="175">
        <f t="shared" si="38"/>
        <v>0</v>
      </c>
      <c r="O136" s="175">
        <f t="shared" si="38"/>
        <v>0</v>
      </c>
      <c r="P136" s="175">
        <f t="shared" si="38"/>
        <v>0</v>
      </c>
    </row>
    <row r="137" spans="1:16" ht="33.75" customHeight="1">
      <c r="A137" s="609"/>
      <c r="B137" s="572"/>
      <c r="C137" s="572"/>
      <c r="D137" s="572"/>
      <c r="E137" s="611"/>
      <c r="F137" s="178" t="s">
        <v>148</v>
      </c>
      <c r="G137" s="177">
        <f t="shared" si="36"/>
        <v>900</v>
      </c>
      <c r="H137" s="175">
        <v>300</v>
      </c>
      <c r="I137" s="175">
        <v>300</v>
      </c>
      <c r="J137" s="245">
        <v>300</v>
      </c>
      <c r="K137" s="175">
        <v>0</v>
      </c>
      <c r="L137" s="175">
        <v>0</v>
      </c>
      <c r="M137" s="175">
        <v>0</v>
      </c>
      <c r="N137" s="175">
        <v>0</v>
      </c>
      <c r="O137" s="175">
        <v>0</v>
      </c>
      <c r="P137" s="175">
        <v>0</v>
      </c>
    </row>
    <row r="138" spans="1:16" ht="52.5" customHeight="1">
      <c r="A138" s="613"/>
      <c r="B138" s="580"/>
      <c r="C138" s="580"/>
      <c r="D138" s="580"/>
      <c r="E138" s="612"/>
      <c r="F138" s="178" t="s">
        <v>88</v>
      </c>
      <c r="G138" s="177">
        <f t="shared" si="36"/>
        <v>900</v>
      </c>
      <c r="H138" s="175">
        <v>300</v>
      </c>
      <c r="I138" s="175">
        <v>300</v>
      </c>
      <c r="J138" s="245">
        <v>300</v>
      </c>
      <c r="K138" s="175">
        <v>0</v>
      </c>
      <c r="L138" s="175">
        <v>0</v>
      </c>
      <c r="M138" s="175">
        <v>0</v>
      </c>
      <c r="N138" s="175">
        <v>0</v>
      </c>
      <c r="O138" s="175">
        <v>0</v>
      </c>
      <c r="P138" s="175">
        <v>0</v>
      </c>
    </row>
    <row r="139" spans="1:16">
      <c r="A139" s="608" t="s">
        <v>83</v>
      </c>
      <c r="B139" s="571" t="s">
        <v>143</v>
      </c>
      <c r="C139" s="571" t="s">
        <v>17</v>
      </c>
      <c r="D139" s="571" t="s">
        <v>18</v>
      </c>
      <c r="E139" s="610" t="s">
        <v>249</v>
      </c>
      <c r="F139" s="178" t="s">
        <v>111</v>
      </c>
      <c r="G139" s="177">
        <f t="shared" si="36"/>
        <v>459.09456</v>
      </c>
      <c r="H139" s="175">
        <v>50.73</v>
      </c>
      <c r="I139" s="175">
        <f>I140+I141</f>
        <v>408.36455999999998</v>
      </c>
      <c r="J139" s="245">
        <f>J140+J141</f>
        <v>0</v>
      </c>
      <c r="K139" s="175">
        <v>0</v>
      </c>
      <c r="L139" s="175">
        <v>0</v>
      </c>
      <c r="M139" s="175">
        <v>0</v>
      </c>
      <c r="N139" s="175">
        <v>0</v>
      </c>
      <c r="O139" s="175">
        <v>0</v>
      </c>
      <c r="P139" s="175">
        <v>0</v>
      </c>
    </row>
    <row r="140" spans="1:16">
      <c r="A140" s="609"/>
      <c r="B140" s="572"/>
      <c r="C140" s="572"/>
      <c r="D140" s="572"/>
      <c r="E140" s="611"/>
      <c r="F140" s="178" t="s">
        <v>124</v>
      </c>
      <c r="G140" s="177">
        <f t="shared" si="36"/>
        <v>50.899369999999998</v>
      </c>
      <c r="H140" s="175">
        <f>69.99874/2</f>
        <v>34.999369999999999</v>
      </c>
      <c r="I140" s="175">
        <v>15.9</v>
      </c>
      <c r="J140" s="245">
        <v>0</v>
      </c>
      <c r="K140" s="175">
        <v>0</v>
      </c>
      <c r="L140" s="175">
        <v>0</v>
      </c>
      <c r="M140" s="175">
        <v>0</v>
      </c>
      <c r="N140" s="175">
        <v>0</v>
      </c>
      <c r="O140" s="175">
        <v>0</v>
      </c>
      <c r="P140" s="175">
        <v>0</v>
      </c>
    </row>
    <row r="141" spans="1:16" ht="22.5">
      <c r="A141" s="609"/>
      <c r="B141" s="572"/>
      <c r="C141" s="572"/>
      <c r="D141" s="572"/>
      <c r="E141" s="611"/>
      <c r="F141" s="178" t="s">
        <v>148</v>
      </c>
      <c r="G141" s="177">
        <f t="shared" si="36"/>
        <v>408.19519000000003</v>
      </c>
      <c r="H141" s="175">
        <f>H142+H143</f>
        <v>15.73063</v>
      </c>
      <c r="I141" s="175">
        <f>I142+I143</f>
        <v>392.46456000000001</v>
      </c>
      <c r="J141" s="245">
        <f>J142+J143</f>
        <v>0</v>
      </c>
      <c r="K141" s="175">
        <v>0</v>
      </c>
      <c r="L141" s="175">
        <v>0</v>
      </c>
      <c r="M141" s="175">
        <v>0</v>
      </c>
      <c r="N141" s="175">
        <v>0</v>
      </c>
      <c r="O141" s="175">
        <v>0</v>
      </c>
      <c r="P141" s="175">
        <v>0</v>
      </c>
    </row>
    <row r="142" spans="1:16" ht="22.5">
      <c r="A142" s="609"/>
      <c r="B142" s="572"/>
      <c r="C142" s="572"/>
      <c r="D142" s="572"/>
      <c r="E142" s="611"/>
      <c r="F142" s="178" t="s">
        <v>123</v>
      </c>
      <c r="G142" s="177">
        <f t="shared" si="36"/>
        <v>19.46519</v>
      </c>
      <c r="H142" s="175">
        <f>31.46126/2</f>
        <v>15.73063</v>
      </c>
      <c r="I142" s="175">
        <f>3.72963+0.00493</f>
        <v>3.7345599999999997</v>
      </c>
      <c r="J142" s="245">
        <v>0</v>
      </c>
      <c r="K142" s="175">
        <v>0</v>
      </c>
      <c r="L142" s="175">
        <v>0</v>
      </c>
      <c r="M142" s="175">
        <v>0</v>
      </c>
      <c r="N142" s="175">
        <v>0</v>
      </c>
      <c r="O142" s="175">
        <v>0</v>
      </c>
      <c r="P142" s="175">
        <v>0</v>
      </c>
    </row>
    <row r="143" spans="1:16" ht="22.5">
      <c r="A143" s="609"/>
      <c r="B143" s="572"/>
      <c r="C143" s="572"/>
      <c r="D143" s="572"/>
      <c r="E143" s="611"/>
      <c r="F143" s="178" t="s">
        <v>147</v>
      </c>
      <c r="G143" s="177">
        <f t="shared" si="36"/>
        <v>388.73</v>
      </c>
      <c r="H143" s="175">
        <v>0</v>
      </c>
      <c r="I143" s="175">
        <f>I144+I145</f>
        <v>388.73</v>
      </c>
      <c r="J143" s="245">
        <v>0</v>
      </c>
      <c r="K143" s="175">
        <v>0</v>
      </c>
      <c r="L143" s="175">
        <v>0</v>
      </c>
      <c r="M143" s="175">
        <v>0</v>
      </c>
      <c r="N143" s="175">
        <v>0</v>
      </c>
      <c r="O143" s="175">
        <v>0</v>
      </c>
      <c r="P143" s="175">
        <v>0</v>
      </c>
    </row>
    <row r="144" spans="1:16" ht="22.5">
      <c r="A144" s="609"/>
      <c r="B144" s="572"/>
      <c r="C144" s="572"/>
      <c r="D144" s="572"/>
      <c r="E144" s="611"/>
      <c r="F144" s="178" t="s">
        <v>233</v>
      </c>
      <c r="G144" s="177">
        <f t="shared" si="36"/>
        <v>204.46062999999998</v>
      </c>
      <c r="H144" s="175">
        <f>H141</f>
        <v>15.73063</v>
      </c>
      <c r="I144" s="175">
        <v>188.73</v>
      </c>
      <c r="J144" s="245">
        <f>J141-J145</f>
        <v>0</v>
      </c>
      <c r="K144" s="175">
        <v>0</v>
      </c>
      <c r="L144" s="175">
        <v>0</v>
      </c>
      <c r="M144" s="175">
        <v>0</v>
      </c>
      <c r="N144" s="175">
        <v>0</v>
      </c>
      <c r="O144" s="175">
        <v>0</v>
      </c>
      <c r="P144" s="175">
        <v>0</v>
      </c>
    </row>
    <row r="145" spans="1:16" ht="22.5">
      <c r="A145" s="613"/>
      <c r="B145" s="580"/>
      <c r="C145" s="580"/>
      <c r="D145" s="580"/>
      <c r="E145" s="612"/>
      <c r="F145" s="178" t="s">
        <v>430</v>
      </c>
      <c r="G145" s="177">
        <f t="shared" si="36"/>
        <v>200</v>
      </c>
      <c r="H145" s="175">
        <v>0</v>
      </c>
      <c r="I145" s="175">
        <v>200</v>
      </c>
      <c r="J145" s="245">
        <v>0</v>
      </c>
      <c r="K145" s="175">
        <v>0</v>
      </c>
      <c r="L145" s="175">
        <v>0</v>
      </c>
      <c r="M145" s="175">
        <v>0</v>
      </c>
      <c r="N145" s="175">
        <v>0</v>
      </c>
      <c r="O145" s="175">
        <v>0</v>
      </c>
      <c r="P145" s="175">
        <v>0</v>
      </c>
    </row>
    <row r="146" spans="1:16" ht="35.25" customHeight="1">
      <c r="A146" s="8" t="s">
        <v>83</v>
      </c>
      <c r="B146" s="9" t="s">
        <v>143</v>
      </c>
      <c r="C146" s="9" t="s">
        <v>18</v>
      </c>
      <c r="D146" s="9"/>
      <c r="E146" s="623" t="s">
        <v>315</v>
      </c>
      <c r="F146" s="624"/>
      <c r="G146" s="177">
        <f t="shared" si="36"/>
        <v>6532.4878800000006</v>
      </c>
      <c r="H146" s="177">
        <f>H147+H151+H157+H165</f>
        <v>3387.1</v>
      </c>
      <c r="I146" s="177">
        <f t="shared" ref="I146:O146" si="39">I147+I151+I157+I165</f>
        <v>2134.60988</v>
      </c>
      <c r="J146" s="177">
        <f t="shared" si="39"/>
        <v>1010.778</v>
      </c>
      <c r="K146" s="177">
        <f t="shared" si="39"/>
        <v>0</v>
      </c>
      <c r="L146" s="177">
        <f t="shared" si="39"/>
        <v>0</v>
      </c>
      <c r="M146" s="177">
        <f t="shared" si="39"/>
        <v>0</v>
      </c>
      <c r="N146" s="177">
        <f t="shared" si="39"/>
        <v>0</v>
      </c>
      <c r="O146" s="177">
        <f t="shared" si="39"/>
        <v>0</v>
      </c>
      <c r="P146" s="177">
        <f>P147+P151+P157+P165</f>
        <v>0</v>
      </c>
    </row>
    <row r="147" spans="1:16" ht="14.25" customHeight="1">
      <c r="A147" s="571" t="s">
        <v>83</v>
      </c>
      <c r="B147" s="571" t="s">
        <v>143</v>
      </c>
      <c r="C147" s="571" t="s">
        <v>18</v>
      </c>
      <c r="D147" s="571" t="s">
        <v>15</v>
      </c>
      <c r="E147" s="617" t="s">
        <v>103</v>
      </c>
      <c r="F147" s="178" t="s">
        <v>111</v>
      </c>
      <c r="G147" s="177">
        <f t="shared" si="36"/>
        <v>2000</v>
      </c>
      <c r="H147" s="175">
        <f t="shared" ref="H147:P147" si="40">H148</f>
        <v>2000</v>
      </c>
      <c r="I147" s="175">
        <f t="shared" si="40"/>
        <v>0</v>
      </c>
      <c r="J147" s="245">
        <f t="shared" si="40"/>
        <v>0</v>
      </c>
      <c r="K147" s="175">
        <f t="shared" si="40"/>
        <v>0</v>
      </c>
      <c r="L147" s="175">
        <f t="shared" si="40"/>
        <v>0</v>
      </c>
      <c r="M147" s="175">
        <f t="shared" si="40"/>
        <v>0</v>
      </c>
      <c r="N147" s="175">
        <f t="shared" si="40"/>
        <v>0</v>
      </c>
      <c r="O147" s="175">
        <f t="shared" si="40"/>
        <v>0</v>
      </c>
      <c r="P147" s="175">
        <f t="shared" si="40"/>
        <v>0</v>
      </c>
    </row>
    <row r="148" spans="1:16" ht="22.5" customHeight="1">
      <c r="A148" s="572" t="s">
        <v>83</v>
      </c>
      <c r="B148" s="572"/>
      <c r="C148" s="572"/>
      <c r="D148" s="572"/>
      <c r="E148" s="618"/>
      <c r="F148" s="178" t="s">
        <v>148</v>
      </c>
      <c r="G148" s="177">
        <f t="shared" si="36"/>
        <v>2000</v>
      </c>
      <c r="H148" s="175">
        <v>2000</v>
      </c>
      <c r="I148" s="175">
        <v>0</v>
      </c>
      <c r="J148" s="245">
        <v>0</v>
      </c>
      <c r="K148" s="175">
        <v>0</v>
      </c>
      <c r="L148" s="175">
        <v>0</v>
      </c>
      <c r="M148" s="175">
        <v>0</v>
      </c>
      <c r="N148" s="175">
        <v>0</v>
      </c>
      <c r="O148" s="175">
        <v>0</v>
      </c>
      <c r="P148" s="175">
        <v>0</v>
      </c>
    </row>
    <row r="149" spans="1:16" ht="22.5">
      <c r="A149" s="572"/>
      <c r="B149" s="572"/>
      <c r="C149" s="572"/>
      <c r="D149" s="572"/>
      <c r="E149" s="618"/>
      <c r="F149" s="178" t="s">
        <v>233</v>
      </c>
      <c r="G149" s="177">
        <f t="shared" si="36"/>
        <v>0</v>
      </c>
      <c r="H149" s="175">
        <v>0</v>
      </c>
      <c r="I149" s="175">
        <v>0</v>
      </c>
      <c r="J149" s="245">
        <v>0</v>
      </c>
      <c r="K149" s="175">
        <v>0</v>
      </c>
      <c r="L149" s="175">
        <v>0</v>
      </c>
      <c r="M149" s="175">
        <v>0</v>
      </c>
      <c r="N149" s="175">
        <v>0</v>
      </c>
      <c r="O149" s="175">
        <v>0</v>
      </c>
      <c r="P149" s="175">
        <v>0</v>
      </c>
    </row>
    <row r="150" spans="1:16" ht="22.5">
      <c r="A150" s="580"/>
      <c r="B150" s="580"/>
      <c r="C150" s="580"/>
      <c r="D150" s="580"/>
      <c r="E150" s="619"/>
      <c r="F150" s="178" t="s">
        <v>76</v>
      </c>
      <c r="G150" s="177">
        <f t="shared" si="36"/>
        <v>2000</v>
      </c>
      <c r="H150" s="175">
        <v>2000</v>
      </c>
      <c r="I150" s="175">
        <v>0</v>
      </c>
      <c r="J150" s="245">
        <v>0</v>
      </c>
      <c r="K150" s="175">
        <v>0</v>
      </c>
      <c r="L150" s="175">
        <v>0</v>
      </c>
      <c r="M150" s="175">
        <v>0</v>
      </c>
      <c r="N150" s="175">
        <v>0</v>
      </c>
      <c r="O150" s="175">
        <v>0</v>
      </c>
      <c r="P150" s="175">
        <v>0</v>
      </c>
    </row>
    <row r="151" spans="1:16">
      <c r="A151" s="608" t="s">
        <v>83</v>
      </c>
      <c r="B151" s="571" t="s">
        <v>143</v>
      </c>
      <c r="C151" s="571" t="s">
        <v>18</v>
      </c>
      <c r="D151" s="571" t="s">
        <v>16</v>
      </c>
      <c r="E151" s="610" t="s">
        <v>104</v>
      </c>
      <c r="F151" s="178" t="s">
        <v>111</v>
      </c>
      <c r="G151" s="177">
        <f t="shared" si="36"/>
        <v>3154.4101000000001</v>
      </c>
      <c r="H151" s="175">
        <v>1126.2</v>
      </c>
      <c r="I151" s="175">
        <f>I152+I153</f>
        <v>1477.4321</v>
      </c>
      <c r="J151" s="245">
        <f>J152+J153</f>
        <v>550.77800000000002</v>
      </c>
      <c r="K151" s="175">
        <v>0</v>
      </c>
      <c r="L151" s="175">
        <v>0</v>
      </c>
      <c r="M151" s="175">
        <v>0</v>
      </c>
      <c r="N151" s="175">
        <v>0</v>
      </c>
      <c r="O151" s="175">
        <v>0</v>
      </c>
      <c r="P151" s="175">
        <v>0</v>
      </c>
    </row>
    <row r="152" spans="1:16">
      <c r="A152" s="609"/>
      <c r="B152" s="572"/>
      <c r="C152" s="572"/>
      <c r="D152" s="572"/>
      <c r="E152" s="611"/>
      <c r="F152" s="178" t="s">
        <v>124</v>
      </c>
      <c r="G152" s="177">
        <f t="shared" ref="G152:G178" si="41">H152+I152+J152+K152+L152+M152</f>
        <v>1145.8818799999999</v>
      </c>
      <c r="H152" s="175">
        <v>776.98188000000005</v>
      </c>
      <c r="I152" s="175">
        <v>368.9</v>
      </c>
      <c r="J152" s="245">
        <v>0</v>
      </c>
      <c r="K152" s="175">
        <v>0</v>
      </c>
      <c r="L152" s="175">
        <v>0</v>
      </c>
      <c r="M152" s="175">
        <v>0</v>
      </c>
      <c r="N152" s="175">
        <v>0</v>
      </c>
      <c r="O152" s="175">
        <v>0</v>
      </c>
      <c r="P152" s="175">
        <v>0</v>
      </c>
    </row>
    <row r="153" spans="1:16" ht="22.5">
      <c r="A153" s="609"/>
      <c r="B153" s="572"/>
      <c r="C153" s="572"/>
      <c r="D153" s="572"/>
      <c r="E153" s="611"/>
      <c r="F153" s="178" t="s">
        <v>148</v>
      </c>
      <c r="G153" s="177">
        <f t="shared" si="41"/>
        <v>2008.5282199999999</v>
      </c>
      <c r="H153" s="175">
        <f>H154+H155</f>
        <v>349.21812</v>
      </c>
      <c r="I153" s="175">
        <f>I154+I155</f>
        <v>1108.5320999999999</v>
      </c>
      <c r="J153" s="245">
        <f>J154+J155</f>
        <v>550.77800000000002</v>
      </c>
      <c r="K153" s="175">
        <v>0</v>
      </c>
      <c r="L153" s="175">
        <v>0</v>
      </c>
      <c r="M153" s="175">
        <v>0</v>
      </c>
      <c r="N153" s="175">
        <v>0</v>
      </c>
      <c r="O153" s="175">
        <v>0</v>
      </c>
      <c r="P153" s="175">
        <v>0</v>
      </c>
    </row>
    <row r="154" spans="1:16" ht="22.5">
      <c r="A154" s="609"/>
      <c r="B154" s="572"/>
      <c r="C154" s="572"/>
      <c r="D154" s="572"/>
      <c r="E154" s="611"/>
      <c r="F154" s="178" t="s">
        <v>123</v>
      </c>
      <c r="G154" s="177">
        <f t="shared" si="41"/>
        <v>435.75022000000001</v>
      </c>
      <c r="H154" s="175">
        <v>349.21812</v>
      </c>
      <c r="I154" s="175">
        <v>86.5321</v>
      </c>
      <c r="J154" s="245">
        <v>0</v>
      </c>
      <c r="K154" s="175">
        <v>0</v>
      </c>
      <c r="L154" s="175">
        <v>0</v>
      </c>
      <c r="M154" s="175">
        <v>0</v>
      </c>
      <c r="N154" s="175">
        <v>0</v>
      </c>
      <c r="O154" s="175">
        <v>0</v>
      </c>
      <c r="P154" s="175">
        <v>0</v>
      </c>
    </row>
    <row r="155" spans="1:16" ht="22.5">
      <c r="A155" s="609"/>
      <c r="B155" s="572"/>
      <c r="C155" s="572"/>
      <c r="D155" s="572"/>
      <c r="E155" s="611"/>
      <c r="F155" s="178" t="s">
        <v>147</v>
      </c>
      <c r="G155" s="177">
        <f t="shared" si="41"/>
        <v>1572.778</v>
      </c>
      <c r="H155" s="175">
        <v>0</v>
      </c>
      <c r="I155" s="175">
        <f>248.47+773.53</f>
        <v>1022</v>
      </c>
      <c r="J155" s="245">
        <v>550.77800000000002</v>
      </c>
      <c r="K155" s="175">
        <v>0</v>
      </c>
      <c r="L155" s="175">
        <v>0</v>
      </c>
      <c r="M155" s="175">
        <v>0</v>
      </c>
      <c r="N155" s="175">
        <v>0</v>
      </c>
      <c r="O155" s="175">
        <v>0</v>
      </c>
      <c r="P155" s="175">
        <v>0</v>
      </c>
    </row>
    <row r="156" spans="1:16" ht="22.5">
      <c r="A156" s="613"/>
      <c r="B156" s="580"/>
      <c r="C156" s="580"/>
      <c r="D156" s="580"/>
      <c r="E156" s="612"/>
      <c r="F156" s="178" t="s">
        <v>92</v>
      </c>
      <c r="G156" s="177">
        <f t="shared" si="41"/>
        <v>2008.5282199999999</v>
      </c>
      <c r="H156" s="175">
        <f>H153</f>
        <v>349.21812</v>
      </c>
      <c r="I156" s="175">
        <f>I155+I154</f>
        <v>1108.5320999999999</v>
      </c>
      <c r="J156" s="245">
        <f>J155+J154</f>
        <v>550.77800000000002</v>
      </c>
      <c r="K156" s="175">
        <v>0</v>
      </c>
      <c r="L156" s="175">
        <v>0</v>
      </c>
      <c r="M156" s="175">
        <v>0</v>
      </c>
      <c r="N156" s="175">
        <v>0</v>
      </c>
      <c r="O156" s="175">
        <v>0</v>
      </c>
      <c r="P156" s="175">
        <v>0</v>
      </c>
    </row>
    <row r="157" spans="1:16">
      <c r="A157" s="608" t="s">
        <v>83</v>
      </c>
      <c r="B157" s="571" t="s">
        <v>143</v>
      </c>
      <c r="C157" s="571" t="s">
        <v>18</v>
      </c>
      <c r="D157" s="571" t="s">
        <v>17</v>
      </c>
      <c r="E157" s="610" t="s">
        <v>494</v>
      </c>
      <c r="F157" s="178" t="s">
        <v>111</v>
      </c>
      <c r="G157" s="177">
        <f t="shared" si="41"/>
        <v>1378.0777800000001</v>
      </c>
      <c r="H157" s="175">
        <v>260.89999999999998</v>
      </c>
      <c r="I157" s="175">
        <f>I158+I159</f>
        <v>657.17777999999998</v>
      </c>
      <c r="J157" s="245">
        <f>J158+J159</f>
        <v>460</v>
      </c>
      <c r="K157" s="175">
        <v>0</v>
      </c>
      <c r="L157" s="175">
        <v>0</v>
      </c>
      <c r="M157" s="175">
        <v>0</v>
      </c>
      <c r="N157" s="175">
        <v>0</v>
      </c>
      <c r="O157" s="175">
        <v>0</v>
      </c>
      <c r="P157" s="175">
        <v>0</v>
      </c>
    </row>
    <row r="158" spans="1:16">
      <c r="A158" s="609"/>
      <c r="B158" s="572"/>
      <c r="C158" s="572"/>
      <c r="D158" s="572"/>
      <c r="E158" s="611"/>
      <c r="F158" s="178" t="s">
        <v>124</v>
      </c>
      <c r="G158" s="177">
        <f t="shared" si="41"/>
        <v>267.28793000000002</v>
      </c>
      <c r="H158" s="175">
        <f>59.95358+60.02257+60.00128+0.0105</f>
        <v>179.98793000000001</v>
      </c>
      <c r="I158" s="175">
        <v>87.3</v>
      </c>
      <c r="J158" s="245">
        <v>0</v>
      </c>
      <c r="K158" s="175">
        <v>0</v>
      </c>
      <c r="L158" s="175">
        <v>0</v>
      </c>
      <c r="M158" s="175">
        <v>0</v>
      </c>
      <c r="N158" s="175">
        <v>0</v>
      </c>
      <c r="O158" s="175">
        <v>0</v>
      </c>
      <c r="P158" s="175">
        <v>0</v>
      </c>
    </row>
    <row r="159" spans="1:16" ht="22.5">
      <c r="A159" s="609"/>
      <c r="B159" s="572"/>
      <c r="C159" s="572"/>
      <c r="D159" s="572"/>
      <c r="E159" s="611"/>
      <c r="F159" s="178" t="s">
        <v>148</v>
      </c>
      <c r="G159" s="177">
        <f t="shared" si="41"/>
        <v>1110.7742000000001</v>
      </c>
      <c r="H159" s="175">
        <f>H160+H161</f>
        <v>80.896420000000006</v>
      </c>
      <c r="I159" s="175">
        <f>I160+I161</f>
        <v>569.87778000000003</v>
      </c>
      <c r="J159" s="245">
        <f>J160+J161</f>
        <v>460</v>
      </c>
      <c r="K159" s="175">
        <v>0</v>
      </c>
      <c r="L159" s="175">
        <v>0</v>
      </c>
      <c r="M159" s="175">
        <v>0</v>
      </c>
      <c r="N159" s="175">
        <v>0</v>
      </c>
      <c r="O159" s="175">
        <v>0</v>
      </c>
      <c r="P159" s="175">
        <v>0</v>
      </c>
    </row>
    <row r="160" spans="1:16" ht="22.5">
      <c r="A160" s="609"/>
      <c r="B160" s="572"/>
      <c r="C160" s="572"/>
      <c r="D160" s="572"/>
      <c r="E160" s="611"/>
      <c r="F160" s="178" t="s">
        <v>123</v>
      </c>
      <c r="G160" s="177">
        <f t="shared" si="41"/>
        <v>101.3742</v>
      </c>
      <c r="H160" s="175">
        <f>H162+H163+H164</f>
        <v>80.896420000000006</v>
      </c>
      <c r="I160" s="175">
        <v>20.477779999999999</v>
      </c>
      <c r="J160" s="245">
        <v>0</v>
      </c>
      <c r="K160" s="175">
        <v>0</v>
      </c>
      <c r="L160" s="175">
        <v>0</v>
      </c>
      <c r="M160" s="175">
        <v>0</v>
      </c>
      <c r="N160" s="175">
        <v>0</v>
      </c>
      <c r="O160" s="175">
        <v>0</v>
      </c>
      <c r="P160" s="175">
        <v>0</v>
      </c>
    </row>
    <row r="161" spans="1:17" ht="22.5">
      <c r="A161" s="609"/>
      <c r="B161" s="572"/>
      <c r="C161" s="572"/>
      <c r="D161" s="572"/>
      <c r="E161" s="611"/>
      <c r="F161" s="178" t="s">
        <v>147</v>
      </c>
      <c r="G161" s="177">
        <f t="shared" si="41"/>
        <v>1009.4</v>
      </c>
      <c r="H161" s="175">
        <v>0</v>
      </c>
      <c r="I161" s="175">
        <v>549.4</v>
      </c>
      <c r="J161" s="245">
        <v>460</v>
      </c>
      <c r="K161" s="175">
        <v>0</v>
      </c>
      <c r="L161" s="175">
        <v>0</v>
      </c>
      <c r="M161" s="175">
        <v>0</v>
      </c>
      <c r="N161" s="175">
        <v>0</v>
      </c>
      <c r="O161" s="175">
        <v>0</v>
      </c>
      <c r="P161" s="175">
        <v>0</v>
      </c>
    </row>
    <row r="162" spans="1:17" ht="22.5">
      <c r="A162" s="609"/>
      <c r="B162" s="572"/>
      <c r="C162" s="572"/>
      <c r="D162" s="572"/>
      <c r="E162" s="611"/>
      <c r="F162" s="178" t="s">
        <v>233</v>
      </c>
      <c r="G162" s="177">
        <f t="shared" si="41"/>
        <v>26.94642</v>
      </c>
      <c r="H162" s="175">
        <v>26.94642</v>
      </c>
      <c r="I162" s="175">
        <v>0</v>
      </c>
      <c r="J162" s="245">
        <v>0</v>
      </c>
      <c r="K162" s="175">
        <v>0</v>
      </c>
      <c r="L162" s="175">
        <v>0</v>
      </c>
      <c r="M162" s="175">
        <v>0</v>
      </c>
      <c r="N162" s="175">
        <v>0</v>
      </c>
      <c r="O162" s="175">
        <v>0</v>
      </c>
      <c r="P162" s="175">
        <v>0</v>
      </c>
    </row>
    <row r="163" spans="1:17" ht="33.75">
      <c r="A163" s="609"/>
      <c r="B163" s="572"/>
      <c r="C163" s="572"/>
      <c r="D163" s="572"/>
      <c r="E163" s="611"/>
      <c r="F163" s="178" t="s">
        <v>88</v>
      </c>
      <c r="G163" s="177">
        <f t="shared" si="41"/>
        <v>883.19743000000005</v>
      </c>
      <c r="H163" s="175">
        <v>26.977429999999998</v>
      </c>
      <c r="I163" s="175">
        <v>396.22</v>
      </c>
      <c r="J163" s="245">
        <v>460</v>
      </c>
      <c r="K163" s="175">
        <v>0</v>
      </c>
      <c r="L163" s="175">
        <v>0</v>
      </c>
      <c r="M163" s="175">
        <v>0</v>
      </c>
      <c r="N163" s="175">
        <v>0</v>
      </c>
      <c r="O163" s="175">
        <v>0</v>
      </c>
      <c r="P163" s="175">
        <v>0</v>
      </c>
    </row>
    <row r="164" spans="1:17" ht="22.5">
      <c r="A164" s="613"/>
      <c r="B164" s="580"/>
      <c r="C164" s="580"/>
      <c r="D164" s="580"/>
      <c r="E164" s="612"/>
      <c r="F164" s="178" t="s">
        <v>426</v>
      </c>
      <c r="G164" s="177">
        <f t="shared" si="41"/>
        <v>200.62257</v>
      </c>
      <c r="H164" s="175">
        <f>26.96785+0.00472</f>
        <v>26.972569999999997</v>
      </c>
      <c r="I164" s="175">
        <v>173.65</v>
      </c>
      <c r="J164" s="245">
        <v>0</v>
      </c>
      <c r="K164" s="175">
        <v>0</v>
      </c>
      <c r="L164" s="175">
        <v>0</v>
      </c>
      <c r="M164" s="175">
        <v>0</v>
      </c>
      <c r="N164" s="175">
        <v>0</v>
      </c>
      <c r="O164" s="175">
        <v>0</v>
      </c>
      <c r="P164" s="175">
        <v>0</v>
      </c>
    </row>
    <row r="165" spans="1:17">
      <c r="A165" s="608" t="s">
        <v>83</v>
      </c>
      <c r="B165" s="571" t="s">
        <v>143</v>
      </c>
      <c r="C165" s="571" t="s">
        <v>18</v>
      </c>
      <c r="D165" s="571" t="s">
        <v>18</v>
      </c>
      <c r="E165" s="610" t="s">
        <v>141</v>
      </c>
      <c r="F165" s="178" t="s">
        <v>111</v>
      </c>
      <c r="G165" s="177">
        <f t="shared" si="41"/>
        <v>0</v>
      </c>
      <c r="H165" s="175">
        <v>0</v>
      </c>
      <c r="I165" s="175">
        <v>0</v>
      </c>
      <c r="J165" s="245">
        <v>0</v>
      </c>
      <c r="K165" s="175">
        <v>0</v>
      </c>
      <c r="L165" s="175">
        <v>0</v>
      </c>
      <c r="M165" s="175">
        <v>0</v>
      </c>
      <c r="N165" s="175">
        <v>0</v>
      </c>
      <c r="O165" s="175">
        <v>0</v>
      </c>
      <c r="P165" s="175">
        <v>0</v>
      </c>
    </row>
    <row r="166" spans="1:17" ht="22.5">
      <c r="A166" s="609"/>
      <c r="B166" s="572"/>
      <c r="C166" s="572"/>
      <c r="D166" s="572"/>
      <c r="E166" s="611"/>
      <c r="F166" s="178" t="s">
        <v>148</v>
      </c>
      <c r="G166" s="177">
        <f t="shared" si="41"/>
        <v>0</v>
      </c>
      <c r="H166" s="175">
        <v>0</v>
      </c>
      <c r="I166" s="175">
        <v>0</v>
      </c>
      <c r="J166" s="245">
        <v>0</v>
      </c>
      <c r="K166" s="175">
        <v>0</v>
      </c>
      <c r="L166" s="175">
        <v>0</v>
      </c>
      <c r="M166" s="175">
        <v>0</v>
      </c>
      <c r="N166" s="175">
        <v>0</v>
      </c>
      <c r="O166" s="175">
        <v>0</v>
      </c>
      <c r="P166" s="175">
        <v>0</v>
      </c>
    </row>
    <row r="167" spans="1:17" ht="63.75" customHeight="1">
      <c r="A167" s="613"/>
      <c r="B167" s="580"/>
      <c r="C167" s="580"/>
      <c r="D167" s="580"/>
      <c r="E167" s="612"/>
      <c r="F167" s="178" t="s">
        <v>233</v>
      </c>
      <c r="G167" s="177">
        <f t="shared" si="41"/>
        <v>0</v>
      </c>
      <c r="H167" s="175">
        <v>0</v>
      </c>
      <c r="I167" s="175">
        <v>0</v>
      </c>
      <c r="J167" s="245">
        <v>0</v>
      </c>
      <c r="K167" s="175">
        <v>0</v>
      </c>
      <c r="L167" s="175">
        <v>0</v>
      </c>
      <c r="M167" s="175">
        <v>0</v>
      </c>
      <c r="N167" s="175">
        <v>0</v>
      </c>
      <c r="O167" s="175">
        <v>0</v>
      </c>
      <c r="P167" s="175">
        <v>0</v>
      </c>
    </row>
    <row r="168" spans="1:17" ht="21.75" customHeight="1">
      <c r="A168" s="608" t="s">
        <v>83</v>
      </c>
      <c r="B168" s="571" t="s">
        <v>144</v>
      </c>
      <c r="C168" s="571"/>
      <c r="D168" s="552"/>
      <c r="E168" s="629" t="s">
        <v>561</v>
      </c>
      <c r="F168" s="176" t="s">
        <v>120</v>
      </c>
      <c r="G168" s="177">
        <f t="shared" si="41"/>
        <v>69241.627105263149</v>
      </c>
      <c r="H168" s="177">
        <f>H169+H171</f>
        <v>7345</v>
      </c>
      <c r="I168" s="177">
        <f>I169+I171</f>
        <v>7898.1</v>
      </c>
      <c r="J168" s="244">
        <f>J169+J171</f>
        <v>500</v>
      </c>
      <c r="K168" s="244">
        <f>K169+K171+K170+K172</f>
        <v>24948.645</v>
      </c>
      <c r="L168" s="177">
        <f>L169+L171</f>
        <v>14346.3</v>
      </c>
      <c r="M168" s="177">
        <f>M169+M171</f>
        <v>14203.582105263158</v>
      </c>
      <c r="N168" s="177">
        <f>N169+N171</f>
        <v>14346.3</v>
      </c>
      <c r="O168" s="177">
        <f>O169+O171</f>
        <v>0</v>
      </c>
      <c r="P168" s="177">
        <f>P169+P171</f>
        <v>0</v>
      </c>
      <c r="Q168" s="441">
        <f>L168+M168+N168</f>
        <v>42896.182105263157</v>
      </c>
    </row>
    <row r="169" spans="1:17" ht="25.5" customHeight="1">
      <c r="A169" s="609"/>
      <c r="B169" s="572"/>
      <c r="C169" s="572"/>
      <c r="D169" s="553"/>
      <c r="E169" s="630"/>
      <c r="F169" s="176" t="s">
        <v>121</v>
      </c>
      <c r="G169" s="177">
        <f t="shared" si="41"/>
        <v>42576.800105263159</v>
      </c>
      <c r="H169" s="177">
        <f>H174</f>
        <v>4045</v>
      </c>
      <c r="I169" s="177">
        <f>I174</f>
        <v>3785.9</v>
      </c>
      <c r="J169" s="177">
        <f>J174</f>
        <v>0</v>
      </c>
      <c r="K169" s="244">
        <f>K199+K207+K215+K223+K232+K240+K250+K258+K266+K275+K283+K291+K299+K307+K315+K324+K332+K340+K357+K365+K373+K381+K389+K348+K399+K407+K415+K423+K439+K447+K455</f>
        <v>11620.498</v>
      </c>
      <c r="L169" s="244">
        <f>L199+L207+L215+L223+L232+L240+L250+L258+L266+L275+L283+L291+L299+L307+L315+L324+L332+L340+L357+L365+L373+L381+L389+L348+L399+L407+L415+L423+L439+L447+L455+L174</f>
        <v>11620.5</v>
      </c>
      <c r="M169" s="244">
        <f>M199+M207+M215+M223+M232+M240+M250+M258+M266+M275+M283+M291+M299+M307+M315+M324+M332+M340+M357+M365+M373+M381+M389+M348+M399+M407+M415+M423+M439+M447+M455+M174</f>
        <v>11504.902105263158</v>
      </c>
      <c r="N169" s="244">
        <f>N199+N207+N215+N223+N232+N240+N250+N258+N266+N275+N283+N291+N299+N307+N315+N324+N332+N340+N357+N365+N373+N381+N389+N348+N399+N407+N415+N423+N439+N447+N455+N174</f>
        <v>11620.5</v>
      </c>
      <c r="O169" s="244">
        <f>O199+O207+O215+O223+O232+O240+O250+O258+O266+O275+O283+O291+O299+O307+O315+O324+O332+O340+O357+O365+O373+O381+O389+O348+O399+O407+O415+O423+O439+O447+O455+O174</f>
        <v>0</v>
      </c>
      <c r="P169" s="244">
        <f>P199+P207+P215+P223+P232+P240+P250+P258+P266+P275+P283+P291+P299+P307+P315+P324+P332+P340+P357+P365+P373+P381+P389+P348+P399+P407+P415+P423+P439+P447+P455+P174</f>
        <v>0</v>
      </c>
      <c r="Q169" s="441">
        <f>L169+M169+N169</f>
        <v>34745.902105263158</v>
      </c>
    </row>
    <row r="170" spans="1:17" s="329" customFormat="1" ht="24.75" customHeight="1">
      <c r="A170" s="609"/>
      <c r="B170" s="572"/>
      <c r="C170" s="572"/>
      <c r="D170" s="553"/>
      <c r="E170" s="630"/>
      <c r="F170" s="176" t="s">
        <v>554</v>
      </c>
      <c r="G170" s="177">
        <f t="shared" si="41"/>
        <v>16418.8</v>
      </c>
      <c r="H170" s="177">
        <f>H174</f>
        <v>4045</v>
      </c>
      <c r="I170" s="177">
        <f>I174</f>
        <v>3785.9</v>
      </c>
      <c r="J170" s="177">
        <f>J174</f>
        <v>0</v>
      </c>
      <c r="K170" s="177">
        <f>K174</f>
        <v>8587.9</v>
      </c>
      <c r="L170" s="177">
        <f t="shared" ref="L170:P170" si="42">L174</f>
        <v>0</v>
      </c>
      <c r="M170" s="177">
        <f t="shared" si="42"/>
        <v>0</v>
      </c>
      <c r="N170" s="177">
        <f t="shared" si="42"/>
        <v>0</v>
      </c>
      <c r="O170" s="177">
        <f t="shared" si="42"/>
        <v>0</v>
      </c>
      <c r="P170" s="177">
        <f t="shared" si="42"/>
        <v>0</v>
      </c>
    </row>
    <row r="171" spans="1:17" s="329" customFormat="1" ht="16.5" customHeight="1">
      <c r="A171" s="609"/>
      <c r="B171" s="572"/>
      <c r="C171" s="572"/>
      <c r="D171" s="553"/>
      <c r="E171" s="630"/>
      <c r="F171" s="176" t="s">
        <v>207</v>
      </c>
      <c r="G171" s="177">
        <f t="shared" si="41"/>
        <v>16062.476999999999</v>
      </c>
      <c r="H171" s="177">
        <f>H175+H190</f>
        <v>3300</v>
      </c>
      <c r="I171" s="177">
        <f>I175+I184+I194+I190</f>
        <v>4112.2</v>
      </c>
      <c r="J171" s="177">
        <f>J175+J184+J194</f>
        <v>500</v>
      </c>
      <c r="K171" s="244">
        <f t="shared" ref="K171:P171" si="43">K200+K208+K216+K224+K233+K241+K251+K259+K267+K276+K284+K292+K300+K308+K316+K325+K333+K341+K358+K366+K374+K382+K390+K349+K400+K408+K416+K424+K440+K448+K456</f>
        <v>2725.797</v>
      </c>
      <c r="L171" s="244">
        <f t="shared" si="43"/>
        <v>2725.7999999999997</v>
      </c>
      <c r="M171" s="244">
        <f t="shared" si="43"/>
        <v>2698.68</v>
      </c>
      <c r="N171" s="244">
        <f t="shared" si="43"/>
        <v>2725.7999999999997</v>
      </c>
      <c r="O171" s="244">
        <f t="shared" si="43"/>
        <v>0</v>
      </c>
      <c r="P171" s="244">
        <f t="shared" si="43"/>
        <v>0</v>
      </c>
      <c r="Q171" s="445">
        <f>L171+M171+N171</f>
        <v>8150.2799999999988</v>
      </c>
    </row>
    <row r="172" spans="1:17" s="329" customFormat="1" ht="45" customHeight="1">
      <c r="A172" s="636"/>
      <c r="B172" s="637"/>
      <c r="C172" s="637"/>
      <c r="D172" s="636"/>
      <c r="E172" s="636"/>
      <c r="F172" s="176" t="s">
        <v>555</v>
      </c>
      <c r="G172" s="177">
        <f t="shared" si="41"/>
        <v>5902.55</v>
      </c>
      <c r="H172" s="177">
        <f>H176</f>
        <v>3000</v>
      </c>
      <c r="I172" s="177">
        <f t="shared" ref="I172:P172" si="44">I176</f>
        <v>888.1</v>
      </c>
      <c r="J172" s="177">
        <f t="shared" si="44"/>
        <v>0</v>
      </c>
      <c r="K172" s="177">
        <f t="shared" si="44"/>
        <v>2014.45</v>
      </c>
      <c r="L172" s="177">
        <f t="shared" si="44"/>
        <v>0</v>
      </c>
      <c r="M172" s="177">
        <f t="shared" si="44"/>
        <v>0</v>
      </c>
      <c r="N172" s="177">
        <f t="shared" si="44"/>
        <v>0</v>
      </c>
      <c r="O172" s="177">
        <f t="shared" si="44"/>
        <v>0</v>
      </c>
      <c r="P172" s="177">
        <f t="shared" si="44"/>
        <v>0</v>
      </c>
    </row>
    <row r="173" spans="1:17" ht="15" customHeight="1">
      <c r="A173" s="608" t="s">
        <v>83</v>
      </c>
      <c r="B173" s="571" t="s">
        <v>144</v>
      </c>
      <c r="C173" s="571" t="s">
        <v>15</v>
      </c>
      <c r="D173" s="608"/>
      <c r="E173" s="629" t="s">
        <v>556</v>
      </c>
      <c r="F173" s="178" t="s">
        <v>111</v>
      </c>
      <c r="G173" s="177">
        <f t="shared" si="41"/>
        <v>22321.35</v>
      </c>
      <c r="H173" s="175">
        <v>7045</v>
      </c>
      <c r="I173" s="175">
        <f t="shared" ref="I173:O173" si="45">I174+I175</f>
        <v>4674</v>
      </c>
      <c r="J173" s="245">
        <f t="shared" si="45"/>
        <v>0</v>
      </c>
      <c r="K173" s="245">
        <f>K174+K175</f>
        <v>10602.35</v>
      </c>
      <c r="L173" s="245">
        <f t="shared" si="45"/>
        <v>0</v>
      </c>
      <c r="M173" s="245">
        <f t="shared" si="45"/>
        <v>0</v>
      </c>
      <c r="N173" s="245">
        <f t="shared" si="45"/>
        <v>0</v>
      </c>
      <c r="O173" s="245">
        <f t="shared" si="45"/>
        <v>0</v>
      </c>
      <c r="P173" s="175">
        <v>0</v>
      </c>
    </row>
    <row r="174" spans="1:17">
      <c r="A174" s="609"/>
      <c r="B174" s="572"/>
      <c r="C174" s="572"/>
      <c r="D174" s="609"/>
      <c r="E174" s="630"/>
      <c r="F174" s="178" t="s">
        <v>124</v>
      </c>
      <c r="G174" s="177">
        <f t="shared" si="41"/>
        <v>16418.8</v>
      </c>
      <c r="H174" s="175">
        <v>4045</v>
      </c>
      <c r="I174" s="175">
        <v>3785.9</v>
      </c>
      <c r="J174" s="245">
        <v>0</v>
      </c>
      <c r="K174" s="175">
        <v>8587.9</v>
      </c>
      <c r="L174" s="175">
        <v>0</v>
      </c>
      <c r="M174" s="175">
        <v>0</v>
      </c>
      <c r="N174" s="175">
        <v>0</v>
      </c>
      <c r="O174" s="175">
        <v>0</v>
      </c>
      <c r="P174" s="175">
        <v>0</v>
      </c>
    </row>
    <row r="175" spans="1:17" ht="22.5">
      <c r="A175" s="609"/>
      <c r="B175" s="572"/>
      <c r="C175" s="572"/>
      <c r="D175" s="609"/>
      <c r="E175" s="630"/>
      <c r="F175" s="178" t="s">
        <v>148</v>
      </c>
      <c r="G175" s="177">
        <f t="shared" si="41"/>
        <v>5902.55</v>
      </c>
      <c r="H175" s="175">
        <v>3000</v>
      </c>
      <c r="I175" s="175">
        <v>888.1</v>
      </c>
      <c r="J175" s="245">
        <v>0</v>
      </c>
      <c r="K175" s="175">
        <v>2014.45</v>
      </c>
      <c r="L175" s="175">
        <v>0</v>
      </c>
      <c r="M175" s="175">
        <v>0</v>
      </c>
      <c r="N175" s="175">
        <v>0</v>
      </c>
      <c r="O175" s="175">
        <v>0</v>
      </c>
      <c r="P175" s="175">
        <v>0</v>
      </c>
    </row>
    <row r="176" spans="1:17" ht="22.5">
      <c r="A176" s="609"/>
      <c r="B176" s="572"/>
      <c r="C176" s="572"/>
      <c r="D176" s="609"/>
      <c r="E176" s="630"/>
      <c r="F176" s="178" t="s">
        <v>123</v>
      </c>
      <c r="G176" s="177">
        <f t="shared" si="41"/>
        <v>5902.55</v>
      </c>
      <c r="H176" s="175">
        <v>3000</v>
      </c>
      <c r="I176" s="175">
        <v>888.1</v>
      </c>
      <c r="J176" s="245">
        <v>0</v>
      </c>
      <c r="K176" s="175">
        <v>2014.45</v>
      </c>
      <c r="L176" s="175">
        <v>0</v>
      </c>
      <c r="M176" s="175">
        <v>0</v>
      </c>
      <c r="N176" s="175">
        <v>0</v>
      </c>
      <c r="O176" s="175">
        <v>0</v>
      </c>
      <c r="P176" s="175">
        <v>0</v>
      </c>
    </row>
    <row r="177" spans="1:16" ht="22.5">
      <c r="A177" s="609"/>
      <c r="B177" s="572"/>
      <c r="C177" s="572"/>
      <c r="D177" s="609"/>
      <c r="E177" s="630"/>
      <c r="F177" s="178" t="s">
        <v>147</v>
      </c>
      <c r="G177" s="177">
        <f t="shared" si="41"/>
        <v>0</v>
      </c>
      <c r="H177" s="175">
        <v>0</v>
      </c>
      <c r="I177" s="175">
        <v>0</v>
      </c>
      <c r="J177" s="245">
        <v>0</v>
      </c>
      <c r="K177" s="175">
        <v>0</v>
      </c>
      <c r="L177" s="175">
        <v>0</v>
      </c>
      <c r="M177" s="175">
        <v>0</v>
      </c>
      <c r="N177" s="175">
        <v>0</v>
      </c>
      <c r="O177" s="175">
        <v>0</v>
      </c>
      <c r="P177" s="175">
        <v>0</v>
      </c>
    </row>
    <row r="178" spans="1:16" ht="23.25" customHeight="1">
      <c r="A178" s="613"/>
      <c r="B178" s="580"/>
      <c r="C178" s="580"/>
      <c r="D178" s="613"/>
      <c r="E178" s="631"/>
      <c r="F178" s="178" t="s">
        <v>78</v>
      </c>
      <c r="G178" s="177">
        <f t="shared" si="41"/>
        <v>5902.55</v>
      </c>
      <c r="H178" s="175">
        <v>3000</v>
      </c>
      <c r="I178" s="175">
        <v>888.1</v>
      </c>
      <c r="J178" s="245">
        <v>0</v>
      </c>
      <c r="K178" s="175">
        <v>2014.45</v>
      </c>
      <c r="L178" s="175">
        <v>0</v>
      </c>
      <c r="M178" s="175">
        <v>0</v>
      </c>
      <c r="N178" s="175">
        <v>0</v>
      </c>
      <c r="O178" s="175">
        <v>0</v>
      </c>
      <c r="P178" s="175">
        <v>0</v>
      </c>
    </row>
    <row r="179" spans="1:16" ht="15" customHeight="1">
      <c r="A179" s="608" t="s">
        <v>83</v>
      </c>
      <c r="B179" s="571" t="s">
        <v>144</v>
      </c>
      <c r="C179" s="571" t="s">
        <v>16</v>
      </c>
      <c r="D179" s="608" t="s">
        <v>15</v>
      </c>
      <c r="E179" s="635" t="s">
        <v>365</v>
      </c>
      <c r="F179" s="306" t="s">
        <v>111</v>
      </c>
      <c r="G179" s="177">
        <v>0</v>
      </c>
      <c r="H179" s="175">
        <v>0</v>
      </c>
      <c r="I179" s="175">
        <v>0</v>
      </c>
      <c r="J179" s="175">
        <v>0</v>
      </c>
      <c r="K179" s="175">
        <v>0</v>
      </c>
      <c r="L179" s="175">
        <v>0</v>
      </c>
      <c r="M179" s="175">
        <v>0</v>
      </c>
      <c r="N179" s="175">
        <v>0</v>
      </c>
      <c r="O179" s="175">
        <v>0</v>
      </c>
      <c r="P179" s="175">
        <v>0</v>
      </c>
    </row>
    <row r="180" spans="1:16" ht="27.75" customHeight="1">
      <c r="A180" s="609"/>
      <c r="B180" s="572"/>
      <c r="C180" s="572"/>
      <c r="D180" s="609"/>
      <c r="E180" s="635"/>
      <c r="F180" s="306" t="s">
        <v>148</v>
      </c>
      <c r="G180" s="177">
        <v>0</v>
      </c>
      <c r="H180" s="175">
        <v>0</v>
      </c>
      <c r="I180" s="175">
        <v>0</v>
      </c>
      <c r="J180" s="175">
        <v>0</v>
      </c>
      <c r="K180" s="175">
        <v>0</v>
      </c>
      <c r="L180" s="175">
        <v>0</v>
      </c>
      <c r="M180" s="175">
        <v>0</v>
      </c>
      <c r="N180" s="175">
        <v>0</v>
      </c>
      <c r="O180" s="175">
        <v>0</v>
      </c>
      <c r="P180" s="175">
        <v>0</v>
      </c>
    </row>
    <row r="181" spans="1:16" ht="42.75" customHeight="1">
      <c r="A181" s="613"/>
      <c r="B181" s="580"/>
      <c r="C181" s="580"/>
      <c r="D181" s="613"/>
      <c r="E181" s="635"/>
      <c r="F181" s="306" t="s">
        <v>78</v>
      </c>
      <c r="G181" s="177">
        <v>0</v>
      </c>
      <c r="H181" s="175">
        <v>0</v>
      </c>
      <c r="I181" s="175">
        <v>0</v>
      </c>
      <c r="J181" s="175">
        <v>0</v>
      </c>
      <c r="K181" s="175">
        <v>0</v>
      </c>
      <c r="L181" s="175">
        <v>0</v>
      </c>
      <c r="M181" s="175">
        <v>0</v>
      </c>
      <c r="N181" s="175">
        <v>0</v>
      </c>
      <c r="O181" s="175">
        <v>0</v>
      </c>
      <c r="P181" s="175">
        <v>0</v>
      </c>
    </row>
    <row r="182" spans="1:16" ht="27.75" customHeight="1">
      <c r="A182" s="8" t="s">
        <v>83</v>
      </c>
      <c r="B182" s="9" t="s">
        <v>144</v>
      </c>
      <c r="C182" s="9" t="s">
        <v>16</v>
      </c>
      <c r="D182" s="183"/>
      <c r="E182" s="623" t="s">
        <v>501</v>
      </c>
      <c r="F182" s="624"/>
      <c r="G182" s="177">
        <f>SUM(G183,G186,G189,G193)</f>
        <v>4024.1</v>
      </c>
      <c r="H182" s="175">
        <f t="shared" ref="H182:P182" si="46">SUM(H183,H186,H189,H193)</f>
        <v>300</v>
      </c>
      <c r="I182" s="177">
        <f t="shared" si="46"/>
        <v>3224.1</v>
      </c>
      <c r="J182" s="177">
        <f t="shared" si="46"/>
        <v>500</v>
      </c>
      <c r="K182" s="177">
        <f t="shared" si="46"/>
        <v>0</v>
      </c>
      <c r="L182" s="177">
        <f t="shared" si="46"/>
        <v>0</v>
      </c>
      <c r="M182" s="177">
        <f t="shared" si="46"/>
        <v>0</v>
      </c>
      <c r="N182" s="177">
        <f t="shared" si="46"/>
        <v>0</v>
      </c>
      <c r="O182" s="177">
        <f t="shared" si="46"/>
        <v>0</v>
      </c>
      <c r="P182" s="177">
        <f t="shared" si="46"/>
        <v>0</v>
      </c>
    </row>
    <row r="183" spans="1:16" ht="15.75" customHeight="1">
      <c r="A183" s="608" t="s">
        <v>83</v>
      </c>
      <c r="B183" s="571" t="s">
        <v>144</v>
      </c>
      <c r="C183" s="571" t="s">
        <v>16</v>
      </c>
      <c r="D183" s="608" t="s">
        <v>15</v>
      </c>
      <c r="E183" s="635" t="s">
        <v>502</v>
      </c>
      <c r="F183" s="306" t="s">
        <v>111</v>
      </c>
      <c r="G183" s="177">
        <f>SUM(H183:P183)</f>
        <v>2124.1</v>
      </c>
      <c r="H183" s="175" t="s">
        <v>182</v>
      </c>
      <c r="I183" s="175">
        <f>I184</f>
        <v>1924.1</v>
      </c>
      <c r="J183" s="175">
        <f>J184</f>
        <v>200</v>
      </c>
      <c r="K183" s="177" t="s">
        <v>182</v>
      </c>
      <c r="L183" s="177" t="s">
        <v>182</v>
      </c>
      <c r="M183" s="177" t="s">
        <v>182</v>
      </c>
      <c r="N183" s="177" t="s">
        <v>182</v>
      </c>
      <c r="O183" s="177" t="s">
        <v>182</v>
      </c>
      <c r="P183" s="177" t="s">
        <v>182</v>
      </c>
    </row>
    <row r="184" spans="1:16" ht="23.25" customHeight="1">
      <c r="A184" s="609"/>
      <c r="B184" s="572"/>
      <c r="C184" s="572"/>
      <c r="D184" s="609"/>
      <c r="E184" s="635"/>
      <c r="F184" s="306" t="s">
        <v>148</v>
      </c>
      <c r="G184" s="177">
        <f t="shared" ref="G184:G196" si="47">SUM(H184:P184)</f>
        <v>2124.1</v>
      </c>
      <c r="H184" s="175" t="s">
        <v>182</v>
      </c>
      <c r="I184" s="175">
        <f>I185</f>
        <v>1924.1</v>
      </c>
      <c r="J184" s="245">
        <v>200</v>
      </c>
      <c r="K184" s="177" t="s">
        <v>182</v>
      </c>
      <c r="L184" s="177" t="s">
        <v>182</v>
      </c>
      <c r="M184" s="177" t="s">
        <v>182</v>
      </c>
      <c r="N184" s="177" t="s">
        <v>182</v>
      </c>
      <c r="O184" s="177" t="s">
        <v>182</v>
      </c>
      <c r="P184" s="177" t="s">
        <v>182</v>
      </c>
    </row>
    <row r="185" spans="1:16" ht="57" customHeight="1">
      <c r="A185" s="613"/>
      <c r="B185" s="580"/>
      <c r="C185" s="580"/>
      <c r="D185" s="613"/>
      <c r="E185" s="635"/>
      <c r="F185" s="306" t="s">
        <v>233</v>
      </c>
      <c r="G185" s="177">
        <f t="shared" si="47"/>
        <v>2124.1</v>
      </c>
      <c r="H185" s="175" t="s">
        <v>182</v>
      </c>
      <c r="I185" s="175">
        <v>1924.1</v>
      </c>
      <c r="J185" s="175">
        <f>J184</f>
        <v>200</v>
      </c>
      <c r="K185" s="177" t="s">
        <v>182</v>
      </c>
      <c r="L185" s="177" t="s">
        <v>182</v>
      </c>
      <c r="M185" s="177" t="s">
        <v>182</v>
      </c>
      <c r="N185" s="177" t="s">
        <v>182</v>
      </c>
      <c r="O185" s="177" t="s">
        <v>182</v>
      </c>
      <c r="P185" s="177" t="s">
        <v>182</v>
      </c>
    </row>
    <row r="186" spans="1:16" ht="15" customHeight="1">
      <c r="A186" s="608" t="s">
        <v>83</v>
      </c>
      <c r="B186" s="571" t="s">
        <v>144</v>
      </c>
      <c r="C186" s="571" t="s">
        <v>16</v>
      </c>
      <c r="D186" s="608" t="s">
        <v>16</v>
      </c>
      <c r="E186" s="617" t="s">
        <v>505</v>
      </c>
      <c r="F186" s="306" t="s">
        <v>111</v>
      </c>
      <c r="G186" s="177">
        <f t="shared" si="47"/>
        <v>0</v>
      </c>
      <c r="H186" s="175" t="s">
        <v>182</v>
      </c>
      <c r="I186" s="175">
        <f>I187</f>
        <v>0</v>
      </c>
      <c r="J186" s="175">
        <f>J187</f>
        <v>0</v>
      </c>
      <c r="K186" s="177" t="s">
        <v>182</v>
      </c>
      <c r="L186" s="177" t="s">
        <v>182</v>
      </c>
      <c r="M186" s="177" t="s">
        <v>182</v>
      </c>
      <c r="N186" s="177" t="s">
        <v>182</v>
      </c>
      <c r="O186" s="177" t="s">
        <v>182</v>
      </c>
      <c r="P186" s="177" t="s">
        <v>182</v>
      </c>
    </row>
    <row r="187" spans="1:16" ht="24.75" customHeight="1">
      <c r="A187" s="609"/>
      <c r="B187" s="572"/>
      <c r="C187" s="572"/>
      <c r="D187" s="609"/>
      <c r="E187" s="618"/>
      <c r="F187" s="306" t="s">
        <v>148</v>
      </c>
      <c r="G187" s="177">
        <f t="shared" si="47"/>
        <v>0</v>
      </c>
      <c r="H187" s="175" t="s">
        <v>182</v>
      </c>
      <c r="I187" s="175">
        <v>0</v>
      </c>
      <c r="J187" s="245">
        <v>0</v>
      </c>
      <c r="K187" s="177" t="s">
        <v>182</v>
      </c>
      <c r="L187" s="177" t="s">
        <v>182</v>
      </c>
      <c r="M187" s="177" t="s">
        <v>182</v>
      </c>
      <c r="N187" s="177" t="s">
        <v>182</v>
      </c>
      <c r="O187" s="177" t="s">
        <v>182</v>
      </c>
      <c r="P187" s="177" t="s">
        <v>182</v>
      </c>
    </row>
    <row r="188" spans="1:16" ht="24.75" customHeight="1">
      <c r="A188" s="613"/>
      <c r="B188" s="580"/>
      <c r="C188" s="580"/>
      <c r="D188" s="613"/>
      <c r="E188" s="619"/>
      <c r="F188" s="306" t="s">
        <v>233</v>
      </c>
      <c r="G188" s="177">
        <f t="shared" si="47"/>
        <v>0</v>
      </c>
      <c r="H188" s="175" t="s">
        <v>182</v>
      </c>
      <c r="I188" s="175">
        <f>I187</f>
        <v>0</v>
      </c>
      <c r="J188" s="175">
        <f>J187</f>
        <v>0</v>
      </c>
      <c r="K188" s="177" t="s">
        <v>182</v>
      </c>
      <c r="L188" s="177" t="s">
        <v>182</v>
      </c>
      <c r="M188" s="177" t="s">
        <v>182</v>
      </c>
      <c r="N188" s="177" t="s">
        <v>182</v>
      </c>
      <c r="O188" s="177" t="s">
        <v>182</v>
      </c>
      <c r="P188" s="177" t="s">
        <v>182</v>
      </c>
    </row>
    <row r="189" spans="1:16" ht="24.75" customHeight="1">
      <c r="A189" s="608" t="s">
        <v>83</v>
      </c>
      <c r="B189" s="571" t="s">
        <v>144</v>
      </c>
      <c r="C189" s="571" t="s">
        <v>16</v>
      </c>
      <c r="D189" s="608" t="s">
        <v>17</v>
      </c>
      <c r="E189" s="617" t="s">
        <v>165</v>
      </c>
      <c r="F189" s="306" t="s">
        <v>111</v>
      </c>
      <c r="G189" s="177">
        <f t="shared" si="47"/>
        <v>1600</v>
      </c>
      <c r="H189" s="175">
        <f>H190</f>
        <v>300</v>
      </c>
      <c r="I189" s="175">
        <f>I190</f>
        <v>1300</v>
      </c>
      <c r="J189" s="175">
        <f>J190</f>
        <v>0</v>
      </c>
      <c r="K189" s="177" t="s">
        <v>182</v>
      </c>
      <c r="L189" s="177" t="s">
        <v>182</v>
      </c>
      <c r="M189" s="177" t="s">
        <v>182</v>
      </c>
      <c r="N189" s="177" t="s">
        <v>182</v>
      </c>
      <c r="O189" s="177" t="s">
        <v>182</v>
      </c>
      <c r="P189" s="177" t="s">
        <v>182</v>
      </c>
    </row>
    <row r="190" spans="1:16" ht="24.75" customHeight="1">
      <c r="A190" s="609"/>
      <c r="B190" s="572"/>
      <c r="C190" s="572"/>
      <c r="D190" s="609"/>
      <c r="E190" s="618"/>
      <c r="F190" s="306" t="s">
        <v>148</v>
      </c>
      <c r="G190" s="177">
        <f t="shared" si="47"/>
        <v>1600</v>
      </c>
      <c r="H190" s="175">
        <v>300</v>
      </c>
      <c r="I190" s="175">
        <v>1300</v>
      </c>
      <c r="J190" s="175">
        <v>0</v>
      </c>
      <c r="K190" s="177" t="s">
        <v>182</v>
      </c>
      <c r="L190" s="177" t="s">
        <v>182</v>
      </c>
      <c r="M190" s="177" t="s">
        <v>182</v>
      </c>
      <c r="N190" s="177" t="s">
        <v>182</v>
      </c>
      <c r="O190" s="177" t="s">
        <v>182</v>
      </c>
      <c r="P190" s="177" t="s">
        <v>182</v>
      </c>
    </row>
    <row r="191" spans="1:16" ht="24.75" customHeight="1">
      <c r="A191" s="609"/>
      <c r="B191" s="572"/>
      <c r="C191" s="572"/>
      <c r="D191" s="609"/>
      <c r="E191" s="618"/>
      <c r="F191" s="306" t="s">
        <v>233</v>
      </c>
      <c r="G191" s="177">
        <f t="shared" si="47"/>
        <v>1600</v>
      </c>
      <c r="H191" s="175">
        <v>300</v>
      </c>
      <c r="I191" s="175">
        <v>1300</v>
      </c>
      <c r="J191" s="175">
        <v>0</v>
      </c>
      <c r="K191" s="177" t="s">
        <v>182</v>
      </c>
      <c r="L191" s="177" t="s">
        <v>182</v>
      </c>
      <c r="M191" s="177" t="s">
        <v>182</v>
      </c>
      <c r="N191" s="177" t="s">
        <v>182</v>
      </c>
      <c r="O191" s="177" t="s">
        <v>182</v>
      </c>
      <c r="P191" s="177" t="s">
        <v>182</v>
      </c>
    </row>
    <row r="192" spans="1:16" ht="24.75" customHeight="1">
      <c r="A192" s="613"/>
      <c r="B192" s="580"/>
      <c r="C192" s="580"/>
      <c r="D192" s="613"/>
      <c r="E192" s="619"/>
      <c r="F192" s="306" t="s">
        <v>76</v>
      </c>
      <c r="G192" s="177">
        <f t="shared" si="47"/>
        <v>0</v>
      </c>
      <c r="H192" s="175">
        <v>0</v>
      </c>
      <c r="I192" s="175">
        <v>0</v>
      </c>
      <c r="J192" s="175">
        <v>0</v>
      </c>
      <c r="K192" s="177" t="s">
        <v>182</v>
      </c>
      <c r="L192" s="177" t="s">
        <v>182</v>
      </c>
      <c r="M192" s="177" t="s">
        <v>182</v>
      </c>
      <c r="N192" s="177" t="s">
        <v>182</v>
      </c>
      <c r="O192" s="177" t="s">
        <v>182</v>
      </c>
      <c r="P192" s="177" t="s">
        <v>182</v>
      </c>
    </row>
    <row r="193" spans="1:16" ht="24.75" customHeight="1">
      <c r="A193" s="608" t="s">
        <v>83</v>
      </c>
      <c r="B193" s="571" t="s">
        <v>144</v>
      </c>
      <c r="C193" s="571" t="s">
        <v>16</v>
      </c>
      <c r="D193" s="608" t="s">
        <v>18</v>
      </c>
      <c r="E193" s="617" t="s">
        <v>514</v>
      </c>
      <c r="F193" s="306" t="s">
        <v>111</v>
      </c>
      <c r="G193" s="177">
        <f t="shared" si="47"/>
        <v>300</v>
      </c>
      <c r="H193" s="175" t="s">
        <v>182</v>
      </c>
      <c r="I193" s="175">
        <f>SUM(I194)</f>
        <v>0</v>
      </c>
      <c r="J193" s="175">
        <f>SUM(J194)</f>
        <v>300</v>
      </c>
      <c r="K193" s="177" t="s">
        <v>182</v>
      </c>
      <c r="L193" s="177" t="s">
        <v>182</v>
      </c>
      <c r="M193" s="177" t="s">
        <v>182</v>
      </c>
      <c r="N193" s="177" t="s">
        <v>182</v>
      </c>
      <c r="O193" s="177" t="s">
        <v>182</v>
      </c>
      <c r="P193" s="177" t="s">
        <v>182</v>
      </c>
    </row>
    <row r="194" spans="1:16" ht="24.75" customHeight="1">
      <c r="A194" s="609"/>
      <c r="B194" s="572"/>
      <c r="C194" s="572"/>
      <c r="D194" s="609"/>
      <c r="E194" s="618"/>
      <c r="F194" s="306" t="s">
        <v>148</v>
      </c>
      <c r="G194" s="177">
        <f t="shared" si="47"/>
        <v>300</v>
      </c>
      <c r="H194" s="175" t="s">
        <v>182</v>
      </c>
      <c r="I194" s="175">
        <v>0</v>
      </c>
      <c r="J194" s="245">
        <f>J195</f>
        <v>300</v>
      </c>
      <c r="K194" s="177" t="s">
        <v>182</v>
      </c>
      <c r="L194" s="177" t="s">
        <v>182</v>
      </c>
      <c r="M194" s="177" t="s">
        <v>182</v>
      </c>
      <c r="N194" s="177" t="s">
        <v>182</v>
      </c>
      <c r="O194" s="177" t="s">
        <v>182</v>
      </c>
      <c r="P194" s="177" t="s">
        <v>182</v>
      </c>
    </row>
    <row r="195" spans="1:16" ht="24.75" customHeight="1">
      <c r="A195" s="609"/>
      <c r="B195" s="572"/>
      <c r="C195" s="572"/>
      <c r="D195" s="609"/>
      <c r="E195" s="618"/>
      <c r="F195" s="306" t="s">
        <v>233</v>
      </c>
      <c r="G195" s="177">
        <f t="shared" si="47"/>
        <v>300</v>
      </c>
      <c r="H195" s="175" t="s">
        <v>182</v>
      </c>
      <c r="I195" s="175">
        <v>0</v>
      </c>
      <c r="J195" s="245">
        <v>300</v>
      </c>
      <c r="K195" s="177" t="s">
        <v>182</v>
      </c>
      <c r="L195" s="177" t="s">
        <v>182</v>
      </c>
      <c r="M195" s="177" t="s">
        <v>182</v>
      </c>
      <c r="N195" s="177" t="s">
        <v>182</v>
      </c>
      <c r="O195" s="177" t="s">
        <v>182</v>
      </c>
      <c r="P195" s="177" t="s">
        <v>182</v>
      </c>
    </row>
    <row r="196" spans="1:16" ht="24.75" customHeight="1">
      <c r="A196" s="613"/>
      <c r="B196" s="580"/>
      <c r="C196" s="580"/>
      <c r="D196" s="613"/>
      <c r="E196" s="619"/>
      <c r="F196" s="306" t="s">
        <v>76</v>
      </c>
      <c r="G196" s="177">
        <f t="shared" si="47"/>
        <v>0</v>
      </c>
      <c r="H196" s="175" t="s">
        <v>182</v>
      </c>
      <c r="I196" s="175">
        <v>0</v>
      </c>
      <c r="J196" s="245">
        <v>0</v>
      </c>
      <c r="K196" s="177" t="s">
        <v>182</v>
      </c>
      <c r="L196" s="177" t="s">
        <v>182</v>
      </c>
      <c r="M196" s="177" t="s">
        <v>182</v>
      </c>
      <c r="N196" s="177" t="s">
        <v>182</v>
      </c>
      <c r="O196" s="177" t="s">
        <v>182</v>
      </c>
      <c r="P196" s="177" t="s">
        <v>182</v>
      </c>
    </row>
    <row r="197" spans="1:16" ht="21" customHeight="1">
      <c r="A197" s="8" t="s">
        <v>83</v>
      </c>
      <c r="B197" s="9" t="s">
        <v>144</v>
      </c>
      <c r="C197" s="9" t="s">
        <v>17</v>
      </c>
      <c r="D197" s="183"/>
      <c r="E197" s="623" t="s">
        <v>544</v>
      </c>
      <c r="F197" s="624"/>
      <c r="G197" s="177">
        <f>K197+L197+M197</f>
        <v>0</v>
      </c>
      <c r="H197" s="177" t="s">
        <v>182</v>
      </c>
      <c r="I197" s="175" t="s">
        <v>182</v>
      </c>
      <c r="J197" s="220" t="s">
        <v>182</v>
      </c>
      <c r="K197" s="177">
        <f t="shared" ref="K197:P197" si="48">K198+K206+K214</f>
        <v>0</v>
      </c>
      <c r="L197" s="177">
        <f t="shared" si="48"/>
        <v>0</v>
      </c>
      <c r="M197" s="177">
        <f t="shared" si="48"/>
        <v>0</v>
      </c>
      <c r="N197" s="177">
        <f t="shared" si="48"/>
        <v>0</v>
      </c>
      <c r="O197" s="177">
        <f t="shared" si="48"/>
        <v>0</v>
      </c>
      <c r="P197" s="177">
        <f t="shared" si="48"/>
        <v>0</v>
      </c>
    </row>
    <row r="198" spans="1:16">
      <c r="A198" s="608" t="s">
        <v>83</v>
      </c>
      <c r="B198" s="571" t="s">
        <v>144</v>
      </c>
      <c r="C198" s="571" t="s">
        <v>17</v>
      </c>
      <c r="D198" s="608" t="s">
        <v>15</v>
      </c>
      <c r="E198" s="610" t="s">
        <v>286</v>
      </c>
      <c r="F198" s="178" t="s">
        <v>50</v>
      </c>
      <c r="G198" s="177">
        <f t="shared" ref="G198:G258" si="49">K198+L198+M198</f>
        <v>0</v>
      </c>
      <c r="H198" s="177" t="s">
        <v>182</v>
      </c>
      <c r="I198" s="177" t="s">
        <v>182</v>
      </c>
      <c r="J198" s="220" t="s">
        <v>182</v>
      </c>
      <c r="K198" s="175">
        <f t="shared" ref="K198:P198" si="50">K199+K200+K203+K204</f>
        <v>0</v>
      </c>
      <c r="L198" s="175">
        <f t="shared" si="50"/>
        <v>0</v>
      </c>
      <c r="M198" s="175">
        <f t="shared" si="50"/>
        <v>0</v>
      </c>
      <c r="N198" s="175">
        <f t="shared" si="50"/>
        <v>0</v>
      </c>
      <c r="O198" s="175">
        <f t="shared" si="50"/>
        <v>0</v>
      </c>
      <c r="P198" s="175">
        <f t="shared" si="50"/>
        <v>0</v>
      </c>
    </row>
    <row r="199" spans="1:16">
      <c r="A199" s="609"/>
      <c r="B199" s="572"/>
      <c r="C199" s="572"/>
      <c r="D199" s="609"/>
      <c r="E199" s="611"/>
      <c r="F199" s="178" t="s">
        <v>124</v>
      </c>
      <c r="G199" s="177">
        <f t="shared" si="49"/>
        <v>0</v>
      </c>
      <c r="H199" s="177" t="s">
        <v>182</v>
      </c>
      <c r="I199" s="177" t="s">
        <v>182</v>
      </c>
      <c r="J199" s="220" t="s">
        <v>182</v>
      </c>
      <c r="K199" s="175">
        <v>0</v>
      </c>
      <c r="L199" s="175">
        <v>0</v>
      </c>
      <c r="M199" s="175">
        <v>0</v>
      </c>
      <c r="N199" s="175">
        <v>0</v>
      </c>
      <c r="O199" s="175">
        <v>0</v>
      </c>
      <c r="P199" s="175">
        <v>0</v>
      </c>
    </row>
    <row r="200" spans="1:16" ht="22.5">
      <c r="A200" s="609"/>
      <c r="B200" s="572"/>
      <c r="C200" s="572"/>
      <c r="D200" s="609"/>
      <c r="E200" s="611"/>
      <c r="F200" s="178" t="s">
        <v>148</v>
      </c>
      <c r="G200" s="177">
        <f t="shared" si="49"/>
        <v>0</v>
      </c>
      <c r="H200" s="177" t="s">
        <v>182</v>
      </c>
      <c r="I200" s="177" t="s">
        <v>182</v>
      </c>
      <c r="J200" s="220" t="s">
        <v>182</v>
      </c>
      <c r="K200" s="175">
        <f t="shared" ref="K200:P200" si="51">K201+K202</f>
        <v>0</v>
      </c>
      <c r="L200" s="175">
        <f t="shared" si="51"/>
        <v>0</v>
      </c>
      <c r="M200" s="175">
        <f t="shared" si="51"/>
        <v>0</v>
      </c>
      <c r="N200" s="175">
        <f t="shared" si="51"/>
        <v>0</v>
      </c>
      <c r="O200" s="175">
        <f t="shared" si="51"/>
        <v>0</v>
      </c>
      <c r="P200" s="175">
        <f t="shared" si="51"/>
        <v>0</v>
      </c>
    </row>
    <row r="201" spans="1:16" ht="22.5">
      <c r="A201" s="609"/>
      <c r="B201" s="572"/>
      <c r="C201" s="572"/>
      <c r="D201" s="609"/>
      <c r="E201" s="611"/>
      <c r="F201" s="178" t="s">
        <v>123</v>
      </c>
      <c r="G201" s="177">
        <f t="shared" si="49"/>
        <v>0</v>
      </c>
      <c r="H201" s="177" t="s">
        <v>182</v>
      </c>
      <c r="I201" s="177" t="s">
        <v>182</v>
      </c>
      <c r="J201" s="220" t="s">
        <v>182</v>
      </c>
      <c r="K201" s="175">
        <v>0</v>
      </c>
      <c r="L201" s="175">
        <v>0</v>
      </c>
      <c r="M201" s="175">
        <v>0</v>
      </c>
      <c r="N201" s="175">
        <v>0</v>
      </c>
      <c r="O201" s="175">
        <v>0</v>
      </c>
      <c r="P201" s="175">
        <v>0</v>
      </c>
    </row>
    <row r="202" spans="1:16" ht="22.5">
      <c r="A202" s="609"/>
      <c r="B202" s="572"/>
      <c r="C202" s="572"/>
      <c r="D202" s="609"/>
      <c r="E202" s="611"/>
      <c r="F202" s="178" t="s">
        <v>147</v>
      </c>
      <c r="G202" s="177">
        <f t="shared" si="49"/>
        <v>0</v>
      </c>
      <c r="H202" s="177" t="s">
        <v>182</v>
      </c>
      <c r="I202" s="177" t="s">
        <v>182</v>
      </c>
      <c r="J202" s="220" t="s">
        <v>182</v>
      </c>
      <c r="K202" s="175">
        <v>0</v>
      </c>
      <c r="L202" s="175">
        <v>0</v>
      </c>
      <c r="M202" s="175">
        <v>0</v>
      </c>
      <c r="N202" s="175">
        <v>0</v>
      </c>
      <c r="O202" s="175">
        <v>0</v>
      </c>
      <c r="P202" s="175">
        <v>0</v>
      </c>
    </row>
    <row r="203" spans="1:16" ht="22.5">
      <c r="A203" s="609"/>
      <c r="B203" s="572"/>
      <c r="C203" s="572"/>
      <c r="D203" s="609"/>
      <c r="E203" s="611"/>
      <c r="F203" s="178" t="s">
        <v>264</v>
      </c>
      <c r="G203" s="177">
        <f t="shared" si="49"/>
        <v>0</v>
      </c>
      <c r="H203" s="177" t="s">
        <v>182</v>
      </c>
      <c r="I203" s="177" t="s">
        <v>182</v>
      </c>
      <c r="J203" s="220" t="s">
        <v>182</v>
      </c>
      <c r="K203" s="175">
        <v>0</v>
      </c>
      <c r="L203" s="175">
        <v>0</v>
      </c>
      <c r="M203" s="175">
        <v>0</v>
      </c>
      <c r="N203" s="175">
        <v>0</v>
      </c>
      <c r="O203" s="175">
        <v>0</v>
      </c>
      <c r="P203" s="175">
        <v>0</v>
      </c>
    </row>
    <row r="204" spans="1:16">
      <c r="A204" s="609"/>
      <c r="B204" s="572"/>
      <c r="C204" s="572"/>
      <c r="D204" s="609"/>
      <c r="E204" s="611"/>
      <c r="F204" s="178" t="s">
        <v>265</v>
      </c>
      <c r="G204" s="177">
        <f t="shared" si="49"/>
        <v>0</v>
      </c>
      <c r="H204" s="177" t="s">
        <v>182</v>
      </c>
      <c r="I204" s="177" t="s">
        <v>182</v>
      </c>
      <c r="J204" s="220" t="s">
        <v>182</v>
      </c>
      <c r="K204" s="175">
        <v>0</v>
      </c>
      <c r="L204" s="175">
        <v>0</v>
      </c>
      <c r="M204" s="175">
        <v>0</v>
      </c>
      <c r="N204" s="175">
        <v>0</v>
      </c>
      <c r="O204" s="175">
        <v>0</v>
      </c>
      <c r="P204" s="175">
        <v>0</v>
      </c>
    </row>
    <row r="205" spans="1:16" ht="22.5">
      <c r="A205" s="613"/>
      <c r="B205" s="580"/>
      <c r="C205" s="580"/>
      <c r="D205" s="613"/>
      <c r="E205" s="612"/>
      <c r="F205" s="178" t="s">
        <v>260</v>
      </c>
      <c r="G205" s="177">
        <f t="shared" si="49"/>
        <v>0</v>
      </c>
      <c r="H205" s="177" t="s">
        <v>182</v>
      </c>
      <c r="I205" s="177" t="s">
        <v>182</v>
      </c>
      <c r="J205" s="220" t="s">
        <v>182</v>
      </c>
      <c r="K205" s="175">
        <f t="shared" ref="K205:P205" si="52">K200</f>
        <v>0</v>
      </c>
      <c r="L205" s="175">
        <f t="shared" si="52"/>
        <v>0</v>
      </c>
      <c r="M205" s="175">
        <f t="shared" si="52"/>
        <v>0</v>
      </c>
      <c r="N205" s="175">
        <f t="shared" si="52"/>
        <v>0</v>
      </c>
      <c r="O205" s="175">
        <f t="shared" si="52"/>
        <v>0</v>
      </c>
      <c r="P205" s="175">
        <f t="shared" si="52"/>
        <v>0</v>
      </c>
    </row>
    <row r="206" spans="1:16">
      <c r="A206" s="608" t="s">
        <v>83</v>
      </c>
      <c r="B206" s="571" t="s">
        <v>144</v>
      </c>
      <c r="C206" s="571" t="s">
        <v>17</v>
      </c>
      <c r="D206" s="608" t="s">
        <v>16</v>
      </c>
      <c r="E206" s="610" t="s">
        <v>287</v>
      </c>
      <c r="F206" s="178" t="s">
        <v>50</v>
      </c>
      <c r="G206" s="177">
        <f t="shared" si="49"/>
        <v>0</v>
      </c>
      <c r="H206" s="177" t="s">
        <v>182</v>
      </c>
      <c r="I206" s="177" t="s">
        <v>182</v>
      </c>
      <c r="J206" s="220" t="s">
        <v>182</v>
      </c>
      <c r="K206" s="175">
        <f t="shared" ref="K206:P206" si="53">K207+K208+K211+K212</f>
        <v>0</v>
      </c>
      <c r="L206" s="175">
        <f t="shared" si="53"/>
        <v>0</v>
      </c>
      <c r="M206" s="175">
        <f t="shared" si="53"/>
        <v>0</v>
      </c>
      <c r="N206" s="175">
        <f t="shared" si="53"/>
        <v>0</v>
      </c>
      <c r="O206" s="175">
        <f t="shared" si="53"/>
        <v>0</v>
      </c>
      <c r="P206" s="175">
        <f t="shared" si="53"/>
        <v>0</v>
      </c>
    </row>
    <row r="207" spans="1:16">
      <c r="A207" s="609"/>
      <c r="B207" s="572"/>
      <c r="C207" s="572"/>
      <c r="D207" s="609"/>
      <c r="E207" s="611"/>
      <c r="F207" s="178" t="s">
        <v>124</v>
      </c>
      <c r="G207" s="177">
        <f t="shared" si="49"/>
        <v>0</v>
      </c>
      <c r="H207" s="177" t="s">
        <v>182</v>
      </c>
      <c r="I207" s="177" t="s">
        <v>182</v>
      </c>
      <c r="J207" s="220" t="s">
        <v>182</v>
      </c>
      <c r="K207" s="175">
        <v>0</v>
      </c>
      <c r="L207" s="175">
        <v>0</v>
      </c>
      <c r="M207" s="175">
        <v>0</v>
      </c>
      <c r="N207" s="175">
        <v>0</v>
      </c>
      <c r="O207" s="175">
        <v>0</v>
      </c>
      <c r="P207" s="175">
        <v>0</v>
      </c>
    </row>
    <row r="208" spans="1:16" ht="22.5">
      <c r="A208" s="609"/>
      <c r="B208" s="572"/>
      <c r="C208" s="572"/>
      <c r="D208" s="609"/>
      <c r="E208" s="611"/>
      <c r="F208" s="178" t="s">
        <v>148</v>
      </c>
      <c r="G208" s="177">
        <f t="shared" si="49"/>
        <v>0</v>
      </c>
      <c r="H208" s="177" t="s">
        <v>182</v>
      </c>
      <c r="I208" s="177" t="s">
        <v>182</v>
      </c>
      <c r="J208" s="220" t="s">
        <v>182</v>
      </c>
      <c r="K208" s="175">
        <f t="shared" ref="K208:P208" si="54">K209+K210</f>
        <v>0</v>
      </c>
      <c r="L208" s="175">
        <f t="shared" si="54"/>
        <v>0</v>
      </c>
      <c r="M208" s="175">
        <f t="shared" si="54"/>
        <v>0</v>
      </c>
      <c r="N208" s="175">
        <f t="shared" si="54"/>
        <v>0</v>
      </c>
      <c r="O208" s="175">
        <f t="shared" si="54"/>
        <v>0</v>
      </c>
      <c r="P208" s="175">
        <f t="shared" si="54"/>
        <v>0</v>
      </c>
    </row>
    <row r="209" spans="1:16" ht="22.5">
      <c r="A209" s="609"/>
      <c r="B209" s="572"/>
      <c r="C209" s="572"/>
      <c r="D209" s="609"/>
      <c r="E209" s="611"/>
      <c r="F209" s="178" t="s">
        <v>123</v>
      </c>
      <c r="G209" s="177">
        <f t="shared" si="49"/>
        <v>0</v>
      </c>
      <c r="H209" s="177" t="s">
        <v>182</v>
      </c>
      <c r="I209" s="177" t="s">
        <v>182</v>
      </c>
      <c r="J209" s="220" t="s">
        <v>182</v>
      </c>
      <c r="K209" s="175">
        <v>0</v>
      </c>
      <c r="L209" s="175">
        <v>0</v>
      </c>
      <c r="M209" s="175">
        <v>0</v>
      </c>
      <c r="N209" s="175">
        <v>0</v>
      </c>
      <c r="O209" s="175">
        <v>0</v>
      </c>
      <c r="P209" s="175">
        <v>0</v>
      </c>
    </row>
    <row r="210" spans="1:16" ht="22.5">
      <c r="A210" s="609"/>
      <c r="B210" s="572"/>
      <c r="C210" s="572"/>
      <c r="D210" s="609"/>
      <c r="E210" s="611"/>
      <c r="F210" s="178" t="s">
        <v>147</v>
      </c>
      <c r="G210" s="177">
        <f t="shared" si="49"/>
        <v>0</v>
      </c>
      <c r="H210" s="177" t="s">
        <v>182</v>
      </c>
      <c r="I210" s="177" t="s">
        <v>182</v>
      </c>
      <c r="J210" s="220" t="s">
        <v>182</v>
      </c>
      <c r="K210" s="175">
        <v>0</v>
      </c>
      <c r="L210" s="175">
        <v>0</v>
      </c>
      <c r="M210" s="175">
        <v>0</v>
      </c>
      <c r="N210" s="175">
        <v>0</v>
      </c>
      <c r="O210" s="175">
        <v>0</v>
      </c>
      <c r="P210" s="175">
        <v>0</v>
      </c>
    </row>
    <row r="211" spans="1:16" ht="22.5">
      <c r="A211" s="609"/>
      <c r="B211" s="572"/>
      <c r="C211" s="572"/>
      <c r="D211" s="609"/>
      <c r="E211" s="611"/>
      <c r="F211" s="178" t="s">
        <v>264</v>
      </c>
      <c r="G211" s="177">
        <f t="shared" si="49"/>
        <v>0</v>
      </c>
      <c r="H211" s="177" t="s">
        <v>182</v>
      </c>
      <c r="I211" s="177" t="s">
        <v>182</v>
      </c>
      <c r="J211" s="220" t="s">
        <v>182</v>
      </c>
      <c r="K211" s="175">
        <v>0</v>
      </c>
      <c r="L211" s="175">
        <v>0</v>
      </c>
      <c r="M211" s="175">
        <v>0</v>
      </c>
      <c r="N211" s="175">
        <v>0</v>
      </c>
      <c r="O211" s="175">
        <v>0</v>
      </c>
      <c r="P211" s="175">
        <v>0</v>
      </c>
    </row>
    <row r="212" spans="1:16">
      <c r="A212" s="609"/>
      <c r="B212" s="572"/>
      <c r="C212" s="572"/>
      <c r="D212" s="609"/>
      <c r="E212" s="611"/>
      <c r="F212" s="178" t="s">
        <v>265</v>
      </c>
      <c r="G212" s="177">
        <f t="shared" si="49"/>
        <v>0</v>
      </c>
      <c r="H212" s="177" t="s">
        <v>182</v>
      </c>
      <c r="I212" s="177" t="s">
        <v>182</v>
      </c>
      <c r="J212" s="220" t="s">
        <v>182</v>
      </c>
      <c r="K212" s="175">
        <v>0</v>
      </c>
      <c r="L212" s="175">
        <v>0</v>
      </c>
      <c r="M212" s="175">
        <v>0</v>
      </c>
      <c r="N212" s="175">
        <v>0</v>
      </c>
      <c r="O212" s="175">
        <v>0</v>
      </c>
      <c r="P212" s="175">
        <v>0</v>
      </c>
    </row>
    <row r="213" spans="1:16" ht="22.5">
      <c r="A213" s="613"/>
      <c r="B213" s="580"/>
      <c r="C213" s="580"/>
      <c r="D213" s="613"/>
      <c r="E213" s="612"/>
      <c r="F213" s="178" t="s">
        <v>260</v>
      </c>
      <c r="G213" s="177">
        <f t="shared" si="49"/>
        <v>0</v>
      </c>
      <c r="H213" s="177" t="s">
        <v>182</v>
      </c>
      <c r="I213" s="177" t="s">
        <v>182</v>
      </c>
      <c r="J213" s="220" t="s">
        <v>182</v>
      </c>
      <c r="K213" s="175">
        <f t="shared" ref="K213:P213" si="55">K208</f>
        <v>0</v>
      </c>
      <c r="L213" s="175">
        <f t="shared" si="55"/>
        <v>0</v>
      </c>
      <c r="M213" s="175">
        <f t="shared" si="55"/>
        <v>0</v>
      </c>
      <c r="N213" s="175">
        <f t="shared" si="55"/>
        <v>0</v>
      </c>
      <c r="O213" s="175">
        <f t="shared" si="55"/>
        <v>0</v>
      </c>
      <c r="P213" s="175">
        <f t="shared" si="55"/>
        <v>0</v>
      </c>
    </row>
    <row r="214" spans="1:16">
      <c r="A214" s="608" t="s">
        <v>83</v>
      </c>
      <c r="B214" s="571" t="s">
        <v>144</v>
      </c>
      <c r="C214" s="571" t="s">
        <v>17</v>
      </c>
      <c r="D214" s="608" t="s">
        <v>17</v>
      </c>
      <c r="E214" s="610" t="s">
        <v>288</v>
      </c>
      <c r="F214" s="178" t="s">
        <v>50</v>
      </c>
      <c r="G214" s="177">
        <f t="shared" si="49"/>
        <v>0</v>
      </c>
      <c r="H214" s="177" t="s">
        <v>182</v>
      </c>
      <c r="I214" s="175" t="s">
        <v>182</v>
      </c>
      <c r="J214" s="220" t="s">
        <v>182</v>
      </c>
      <c r="K214" s="175">
        <f t="shared" ref="K214:P214" si="56">K215+K216+K219+K220</f>
        <v>0</v>
      </c>
      <c r="L214" s="175">
        <f t="shared" si="56"/>
        <v>0</v>
      </c>
      <c r="M214" s="175">
        <f t="shared" si="56"/>
        <v>0</v>
      </c>
      <c r="N214" s="175">
        <f t="shared" si="56"/>
        <v>0</v>
      </c>
      <c r="O214" s="175">
        <f t="shared" si="56"/>
        <v>0</v>
      </c>
      <c r="P214" s="175">
        <f t="shared" si="56"/>
        <v>0</v>
      </c>
    </row>
    <row r="215" spans="1:16">
      <c r="A215" s="609"/>
      <c r="B215" s="572"/>
      <c r="C215" s="572"/>
      <c r="D215" s="609"/>
      <c r="E215" s="611"/>
      <c r="F215" s="178" t="s">
        <v>124</v>
      </c>
      <c r="G215" s="177">
        <f t="shared" si="49"/>
        <v>0</v>
      </c>
      <c r="H215" s="177" t="s">
        <v>182</v>
      </c>
      <c r="I215" s="177" t="s">
        <v>182</v>
      </c>
      <c r="J215" s="220" t="s">
        <v>182</v>
      </c>
      <c r="K215" s="175">
        <f>K217/19*81</f>
        <v>0</v>
      </c>
      <c r="L215" s="175">
        <v>0</v>
      </c>
      <c r="M215" s="175">
        <v>0</v>
      </c>
      <c r="N215" s="175">
        <v>0</v>
      </c>
      <c r="O215" s="175">
        <v>0</v>
      </c>
      <c r="P215" s="175">
        <v>0</v>
      </c>
    </row>
    <row r="216" spans="1:16" ht="22.5">
      <c r="A216" s="609"/>
      <c r="B216" s="572"/>
      <c r="C216" s="572"/>
      <c r="D216" s="609"/>
      <c r="E216" s="611"/>
      <c r="F216" s="178" t="s">
        <v>148</v>
      </c>
      <c r="G216" s="177">
        <f t="shared" si="49"/>
        <v>0</v>
      </c>
      <c r="H216" s="177" t="s">
        <v>182</v>
      </c>
      <c r="I216" s="177" t="s">
        <v>182</v>
      </c>
      <c r="J216" s="220" t="s">
        <v>182</v>
      </c>
      <c r="K216" s="175">
        <f t="shared" ref="K216:P216" si="57">K217+K218</f>
        <v>0</v>
      </c>
      <c r="L216" s="175">
        <f t="shared" si="57"/>
        <v>0</v>
      </c>
      <c r="M216" s="175">
        <f t="shared" si="57"/>
        <v>0</v>
      </c>
      <c r="N216" s="175">
        <f t="shared" si="57"/>
        <v>0</v>
      </c>
      <c r="O216" s="175">
        <f t="shared" si="57"/>
        <v>0</v>
      </c>
      <c r="P216" s="175">
        <f t="shared" si="57"/>
        <v>0</v>
      </c>
    </row>
    <row r="217" spans="1:16" ht="22.5">
      <c r="A217" s="609"/>
      <c r="B217" s="572"/>
      <c r="C217" s="572"/>
      <c r="D217" s="609"/>
      <c r="E217" s="611"/>
      <c r="F217" s="178" t="s">
        <v>123</v>
      </c>
      <c r="G217" s="177">
        <f t="shared" si="49"/>
        <v>0</v>
      </c>
      <c r="H217" s="177" t="s">
        <v>182</v>
      </c>
      <c r="I217" s="177" t="s">
        <v>182</v>
      </c>
      <c r="J217" s="220" t="s">
        <v>182</v>
      </c>
      <c r="K217" s="175">
        <v>0</v>
      </c>
      <c r="L217" s="175">
        <v>0</v>
      </c>
      <c r="M217" s="175">
        <v>0</v>
      </c>
      <c r="N217" s="175">
        <v>0</v>
      </c>
      <c r="O217" s="175">
        <v>0</v>
      </c>
      <c r="P217" s="175">
        <v>0</v>
      </c>
    </row>
    <row r="218" spans="1:16" ht="22.5">
      <c r="A218" s="609"/>
      <c r="B218" s="572"/>
      <c r="C218" s="572"/>
      <c r="D218" s="609"/>
      <c r="E218" s="611"/>
      <c r="F218" s="178" t="s">
        <v>147</v>
      </c>
      <c r="G218" s="177">
        <f t="shared" si="49"/>
        <v>0</v>
      </c>
      <c r="H218" s="177" t="s">
        <v>182</v>
      </c>
      <c r="I218" s="177" t="s">
        <v>182</v>
      </c>
      <c r="J218" s="220" t="s">
        <v>182</v>
      </c>
      <c r="K218" s="175">
        <v>0</v>
      </c>
      <c r="L218" s="175">
        <v>0</v>
      </c>
      <c r="M218" s="175">
        <v>0</v>
      </c>
      <c r="N218" s="175">
        <v>0</v>
      </c>
      <c r="O218" s="175">
        <v>0</v>
      </c>
      <c r="P218" s="175">
        <v>0</v>
      </c>
    </row>
    <row r="219" spans="1:16" ht="22.5">
      <c r="A219" s="609"/>
      <c r="B219" s="572"/>
      <c r="C219" s="572"/>
      <c r="D219" s="609"/>
      <c r="E219" s="611"/>
      <c r="F219" s="178" t="s">
        <v>264</v>
      </c>
      <c r="G219" s="177">
        <f t="shared" si="49"/>
        <v>0</v>
      </c>
      <c r="H219" s="177" t="s">
        <v>182</v>
      </c>
      <c r="I219" s="177" t="s">
        <v>182</v>
      </c>
      <c r="J219" s="220" t="s">
        <v>182</v>
      </c>
      <c r="K219" s="175">
        <v>0</v>
      </c>
      <c r="L219" s="175">
        <v>0</v>
      </c>
      <c r="M219" s="175">
        <v>0</v>
      </c>
      <c r="N219" s="175">
        <v>0</v>
      </c>
      <c r="O219" s="175">
        <v>0</v>
      </c>
      <c r="P219" s="175">
        <v>0</v>
      </c>
    </row>
    <row r="220" spans="1:16">
      <c r="A220" s="609"/>
      <c r="B220" s="572"/>
      <c r="C220" s="572"/>
      <c r="D220" s="609"/>
      <c r="E220" s="611"/>
      <c r="F220" s="178" t="s">
        <v>265</v>
      </c>
      <c r="G220" s="177">
        <f>K220+L220+M220</f>
        <v>0</v>
      </c>
      <c r="H220" s="177" t="s">
        <v>182</v>
      </c>
      <c r="I220" s="177" t="s">
        <v>182</v>
      </c>
      <c r="J220" s="220" t="s">
        <v>182</v>
      </c>
      <c r="K220" s="175">
        <v>0</v>
      </c>
      <c r="L220" s="175">
        <v>0</v>
      </c>
      <c r="M220" s="175">
        <v>0</v>
      </c>
      <c r="N220" s="175">
        <v>0</v>
      </c>
      <c r="O220" s="175">
        <v>0</v>
      </c>
      <c r="P220" s="175">
        <v>0</v>
      </c>
    </row>
    <row r="221" spans="1:16" ht="22.5">
      <c r="A221" s="613"/>
      <c r="B221" s="580"/>
      <c r="C221" s="580"/>
      <c r="D221" s="613"/>
      <c r="E221" s="612"/>
      <c r="F221" s="178" t="s">
        <v>260</v>
      </c>
      <c r="G221" s="177">
        <f t="shared" si="49"/>
        <v>0</v>
      </c>
      <c r="H221" s="177" t="s">
        <v>182</v>
      </c>
      <c r="I221" s="177" t="s">
        <v>182</v>
      </c>
      <c r="J221" s="220" t="s">
        <v>182</v>
      </c>
      <c r="K221" s="175">
        <f t="shared" ref="K221:P221" si="58">K216</f>
        <v>0</v>
      </c>
      <c r="L221" s="175">
        <f t="shared" si="58"/>
        <v>0</v>
      </c>
      <c r="M221" s="175">
        <f t="shared" si="58"/>
        <v>0</v>
      </c>
      <c r="N221" s="175">
        <f t="shared" si="58"/>
        <v>0</v>
      </c>
      <c r="O221" s="175">
        <f t="shared" si="58"/>
        <v>0</v>
      </c>
      <c r="P221" s="175">
        <f t="shared" si="58"/>
        <v>0</v>
      </c>
    </row>
    <row r="222" spans="1:16">
      <c r="A222" s="608" t="s">
        <v>83</v>
      </c>
      <c r="B222" s="571" t="s">
        <v>144</v>
      </c>
      <c r="C222" s="571" t="s">
        <v>17</v>
      </c>
      <c r="D222" s="608" t="s">
        <v>18</v>
      </c>
      <c r="E222" s="610" t="s">
        <v>263</v>
      </c>
      <c r="F222" s="178" t="s">
        <v>50</v>
      </c>
      <c r="G222" s="177">
        <f t="shared" si="49"/>
        <v>0</v>
      </c>
      <c r="H222" s="177" t="s">
        <v>182</v>
      </c>
      <c r="I222" s="177" t="s">
        <v>182</v>
      </c>
      <c r="J222" s="220" t="s">
        <v>182</v>
      </c>
      <c r="K222" s="175">
        <f t="shared" ref="K222:P222" si="59">K223+K224+K227+K228</f>
        <v>0</v>
      </c>
      <c r="L222" s="175">
        <f t="shared" si="59"/>
        <v>0</v>
      </c>
      <c r="M222" s="175">
        <f t="shared" si="59"/>
        <v>0</v>
      </c>
      <c r="N222" s="175">
        <f t="shared" si="59"/>
        <v>0</v>
      </c>
      <c r="O222" s="175">
        <f t="shared" si="59"/>
        <v>0</v>
      </c>
      <c r="P222" s="175">
        <f t="shared" si="59"/>
        <v>0</v>
      </c>
    </row>
    <row r="223" spans="1:16">
      <c r="A223" s="609"/>
      <c r="B223" s="572"/>
      <c r="C223" s="572"/>
      <c r="D223" s="609"/>
      <c r="E223" s="611"/>
      <c r="F223" s="178" t="s">
        <v>124</v>
      </c>
      <c r="G223" s="177">
        <f t="shared" si="49"/>
        <v>0</v>
      </c>
      <c r="H223" s="177" t="s">
        <v>182</v>
      </c>
      <c r="I223" s="177" t="s">
        <v>182</v>
      </c>
      <c r="J223" s="220" t="s">
        <v>182</v>
      </c>
      <c r="K223" s="175">
        <f>K225/19*81</f>
        <v>0</v>
      </c>
      <c r="L223" s="175">
        <v>0</v>
      </c>
      <c r="M223" s="175">
        <v>0</v>
      </c>
      <c r="N223" s="175">
        <v>0</v>
      </c>
      <c r="O223" s="175">
        <v>0</v>
      </c>
      <c r="P223" s="175">
        <v>0</v>
      </c>
    </row>
    <row r="224" spans="1:16" ht="22.5">
      <c r="A224" s="609"/>
      <c r="B224" s="572"/>
      <c r="C224" s="572"/>
      <c r="D224" s="609"/>
      <c r="E224" s="611"/>
      <c r="F224" s="178" t="s">
        <v>148</v>
      </c>
      <c r="G224" s="177">
        <f t="shared" si="49"/>
        <v>0</v>
      </c>
      <c r="H224" s="177" t="s">
        <v>182</v>
      </c>
      <c r="I224" s="177" t="s">
        <v>182</v>
      </c>
      <c r="J224" s="220" t="s">
        <v>182</v>
      </c>
      <c r="K224" s="175">
        <f t="shared" ref="K224:P224" si="60">K225+K226</f>
        <v>0</v>
      </c>
      <c r="L224" s="175">
        <f t="shared" si="60"/>
        <v>0</v>
      </c>
      <c r="M224" s="175">
        <f t="shared" si="60"/>
        <v>0</v>
      </c>
      <c r="N224" s="175">
        <f t="shared" si="60"/>
        <v>0</v>
      </c>
      <c r="O224" s="175">
        <f t="shared" si="60"/>
        <v>0</v>
      </c>
      <c r="P224" s="175">
        <f t="shared" si="60"/>
        <v>0</v>
      </c>
    </row>
    <row r="225" spans="1:16" ht="22.5">
      <c r="A225" s="609"/>
      <c r="B225" s="572"/>
      <c r="C225" s="572"/>
      <c r="D225" s="609"/>
      <c r="E225" s="611"/>
      <c r="F225" s="178" t="s">
        <v>123</v>
      </c>
      <c r="G225" s="177">
        <f t="shared" si="49"/>
        <v>0</v>
      </c>
      <c r="H225" s="177" t="s">
        <v>182</v>
      </c>
      <c r="I225" s="177" t="s">
        <v>182</v>
      </c>
      <c r="J225" s="220" t="s">
        <v>182</v>
      </c>
      <c r="K225" s="175">
        <v>0</v>
      </c>
      <c r="L225" s="175">
        <v>0</v>
      </c>
      <c r="M225" s="175">
        <v>0</v>
      </c>
      <c r="N225" s="175">
        <v>0</v>
      </c>
      <c r="O225" s="175">
        <v>0</v>
      </c>
      <c r="P225" s="175">
        <v>0</v>
      </c>
    </row>
    <row r="226" spans="1:16" ht="22.5">
      <c r="A226" s="609"/>
      <c r="B226" s="572"/>
      <c r="C226" s="572"/>
      <c r="D226" s="609"/>
      <c r="E226" s="611"/>
      <c r="F226" s="178" t="s">
        <v>147</v>
      </c>
      <c r="G226" s="177">
        <f t="shared" si="49"/>
        <v>0</v>
      </c>
      <c r="H226" s="177" t="s">
        <v>182</v>
      </c>
      <c r="I226" s="177" t="s">
        <v>182</v>
      </c>
      <c r="J226" s="220" t="s">
        <v>182</v>
      </c>
      <c r="K226" s="175">
        <v>0</v>
      </c>
      <c r="L226" s="175">
        <v>0</v>
      </c>
      <c r="M226" s="175">
        <v>0</v>
      </c>
      <c r="N226" s="175">
        <v>0</v>
      </c>
      <c r="O226" s="175">
        <v>0</v>
      </c>
      <c r="P226" s="175">
        <v>0</v>
      </c>
    </row>
    <row r="227" spans="1:16" ht="22.5">
      <c r="A227" s="609"/>
      <c r="B227" s="572"/>
      <c r="C227" s="572"/>
      <c r="D227" s="609"/>
      <c r="E227" s="611"/>
      <c r="F227" s="178" t="s">
        <v>264</v>
      </c>
      <c r="G227" s="177">
        <f t="shared" si="49"/>
        <v>0</v>
      </c>
      <c r="H227" s="177" t="s">
        <v>182</v>
      </c>
      <c r="I227" s="177" t="s">
        <v>182</v>
      </c>
      <c r="J227" s="220" t="s">
        <v>182</v>
      </c>
      <c r="K227" s="175">
        <v>0</v>
      </c>
      <c r="L227" s="175">
        <v>0</v>
      </c>
      <c r="M227" s="175">
        <v>0</v>
      </c>
      <c r="N227" s="175">
        <v>0</v>
      </c>
      <c r="O227" s="175">
        <v>0</v>
      </c>
      <c r="P227" s="175">
        <v>0</v>
      </c>
    </row>
    <row r="228" spans="1:16">
      <c r="A228" s="609"/>
      <c r="B228" s="572"/>
      <c r="C228" s="572"/>
      <c r="D228" s="609"/>
      <c r="E228" s="611"/>
      <c r="F228" s="178" t="s">
        <v>265</v>
      </c>
      <c r="G228" s="177">
        <f t="shared" si="49"/>
        <v>0</v>
      </c>
      <c r="H228" s="177" t="s">
        <v>182</v>
      </c>
      <c r="I228" s="177" t="s">
        <v>182</v>
      </c>
      <c r="J228" s="220" t="s">
        <v>182</v>
      </c>
      <c r="K228" s="175">
        <v>0</v>
      </c>
      <c r="L228" s="175">
        <v>0</v>
      </c>
      <c r="M228" s="175">
        <v>0</v>
      </c>
      <c r="N228" s="175">
        <v>0</v>
      </c>
      <c r="O228" s="175">
        <v>0</v>
      </c>
      <c r="P228" s="175">
        <v>0</v>
      </c>
    </row>
    <row r="229" spans="1:16" ht="22.5">
      <c r="A229" s="609"/>
      <c r="B229" s="572"/>
      <c r="C229" s="572"/>
      <c r="D229" s="609"/>
      <c r="E229" s="611"/>
      <c r="F229" s="178" t="s">
        <v>76</v>
      </c>
      <c r="G229" s="177">
        <f t="shared" si="49"/>
        <v>0</v>
      </c>
      <c r="H229" s="177" t="s">
        <v>182</v>
      </c>
      <c r="I229" s="177" t="s">
        <v>182</v>
      </c>
      <c r="J229" s="220" t="s">
        <v>182</v>
      </c>
      <c r="K229" s="175">
        <v>0</v>
      </c>
      <c r="L229" s="175">
        <v>0</v>
      </c>
      <c r="M229" s="175">
        <v>0</v>
      </c>
      <c r="N229" s="175">
        <v>0</v>
      </c>
      <c r="O229" s="175">
        <v>0</v>
      </c>
      <c r="P229" s="175">
        <v>0</v>
      </c>
    </row>
    <row r="230" spans="1:16" ht="22.5">
      <c r="A230" s="613"/>
      <c r="B230" s="580"/>
      <c r="C230" s="580"/>
      <c r="D230" s="613"/>
      <c r="E230" s="612"/>
      <c r="F230" s="178" t="s">
        <v>260</v>
      </c>
      <c r="G230" s="177">
        <f t="shared" si="49"/>
        <v>0</v>
      </c>
      <c r="H230" s="177" t="s">
        <v>182</v>
      </c>
      <c r="I230" s="177" t="s">
        <v>182</v>
      </c>
      <c r="J230" s="220" t="s">
        <v>182</v>
      </c>
      <c r="K230" s="175">
        <f>K224-K229</f>
        <v>0</v>
      </c>
      <c r="L230" s="175">
        <f>L224</f>
        <v>0</v>
      </c>
      <c r="M230" s="175">
        <f>M224</f>
        <v>0</v>
      </c>
      <c r="N230" s="175">
        <f>N224</f>
        <v>0</v>
      </c>
      <c r="O230" s="175">
        <f>O224</f>
        <v>0</v>
      </c>
      <c r="P230" s="175">
        <f>P224</f>
        <v>0</v>
      </c>
    </row>
    <row r="231" spans="1:16">
      <c r="A231" s="608" t="s">
        <v>83</v>
      </c>
      <c r="B231" s="571" t="s">
        <v>144</v>
      </c>
      <c r="C231" s="571" t="s">
        <v>17</v>
      </c>
      <c r="D231" s="608" t="s">
        <v>29</v>
      </c>
      <c r="E231" s="610" t="s">
        <v>284</v>
      </c>
      <c r="F231" s="178" t="s">
        <v>50</v>
      </c>
      <c r="G231" s="177">
        <f>K231+L231+M231</f>
        <v>0</v>
      </c>
      <c r="H231" s="177" t="s">
        <v>182</v>
      </c>
      <c r="I231" s="177" t="s">
        <v>182</v>
      </c>
      <c r="J231" s="220" t="s">
        <v>182</v>
      </c>
      <c r="K231" s="175">
        <f t="shared" ref="K231:P231" si="61">K232+K233+K236+K237</f>
        <v>0</v>
      </c>
      <c r="L231" s="175">
        <f t="shared" si="61"/>
        <v>0</v>
      </c>
      <c r="M231" s="175">
        <f t="shared" si="61"/>
        <v>0</v>
      </c>
      <c r="N231" s="175">
        <f t="shared" si="61"/>
        <v>0</v>
      </c>
      <c r="O231" s="175">
        <f t="shared" si="61"/>
        <v>0</v>
      </c>
      <c r="P231" s="175">
        <f t="shared" si="61"/>
        <v>0</v>
      </c>
    </row>
    <row r="232" spans="1:16">
      <c r="A232" s="609"/>
      <c r="B232" s="572"/>
      <c r="C232" s="572"/>
      <c r="D232" s="609"/>
      <c r="E232" s="611"/>
      <c r="F232" s="178" t="s">
        <v>124</v>
      </c>
      <c r="G232" s="177">
        <f t="shared" si="49"/>
        <v>0</v>
      </c>
      <c r="H232" s="177" t="s">
        <v>182</v>
      </c>
      <c r="I232" s="177" t="s">
        <v>182</v>
      </c>
      <c r="J232" s="220" t="s">
        <v>182</v>
      </c>
      <c r="K232" s="175">
        <f>K234/19*81</f>
        <v>0</v>
      </c>
      <c r="L232" s="175">
        <v>0</v>
      </c>
      <c r="M232" s="175">
        <v>0</v>
      </c>
      <c r="N232" s="175">
        <v>0</v>
      </c>
      <c r="O232" s="175">
        <v>0</v>
      </c>
      <c r="P232" s="175">
        <v>0</v>
      </c>
    </row>
    <row r="233" spans="1:16" ht="22.5">
      <c r="A233" s="609"/>
      <c r="B233" s="572"/>
      <c r="C233" s="572"/>
      <c r="D233" s="609"/>
      <c r="E233" s="611"/>
      <c r="F233" s="178" t="s">
        <v>148</v>
      </c>
      <c r="G233" s="177">
        <f t="shared" si="49"/>
        <v>0</v>
      </c>
      <c r="H233" s="177" t="s">
        <v>182</v>
      </c>
      <c r="I233" s="177" t="s">
        <v>182</v>
      </c>
      <c r="J233" s="220" t="s">
        <v>182</v>
      </c>
      <c r="K233" s="175">
        <f t="shared" ref="K233:P233" si="62">K234+K235</f>
        <v>0</v>
      </c>
      <c r="L233" s="175">
        <f t="shared" si="62"/>
        <v>0</v>
      </c>
      <c r="M233" s="175">
        <f t="shared" si="62"/>
        <v>0</v>
      </c>
      <c r="N233" s="175">
        <f t="shared" si="62"/>
        <v>0</v>
      </c>
      <c r="O233" s="175">
        <f t="shared" si="62"/>
        <v>0</v>
      </c>
      <c r="P233" s="175">
        <f t="shared" si="62"/>
        <v>0</v>
      </c>
    </row>
    <row r="234" spans="1:16" ht="22.5">
      <c r="A234" s="609"/>
      <c r="B234" s="572"/>
      <c r="C234" s="572"/>
      <c r="D234" s="609"/>
      <c r="E234" s="611"/>
      <c r="F234" s="178" t="s">
        <v>123</v>
      </c>
      <c r="G234" s="177">
        <f t="shared" si="49"/>
        <v>0</v>
      </c>
      <c r="H234" s="177" t="s">
        <v>182</v>
      </c>
      <c r="I234" s="177" t="s">
        <v>182</v>
      </c>
      <c r="J234" s="220" t="s">
        <v>182</v>
      </c>
      <c r="K234" s="175">
        <v>0</v>
      </c>
      <c r="L234" s="175">
        <v>0</v>
      </c>
      <c r="M234" s="175">
        <v>0</v>
      </c>
      <c r="N234" s="175">
        <v>0</v>
      </c>
      <c r="O234" s="175">
        <v>0</v>
      </c>
      <c r="P234" s="175">
        <v>0</v>
      </c>
    </row>
    <row r="235" spans="1:16" ht="22.5">
      <c r="A235" s="609"/>
      <c r="B235" s="572"/>
      <c r="C235" s="572"/>
      <c r="D235" s="609"/>
      <c r="E235" s="611"/>
      <c r="F235" s="178" t="s">
        <v>147</v>
      </c>
      <c r="G235" s="177">
        <f t="shared" si="49"/>
        <v>0</v>
      </c>
      <c r="H235" s="177" t="s">
        <v>182</v>
      </c>
      <c r="I235" s="177" t="s">
        <v>182</v>
      </c>
      <c r="J235" s="220" t="s">
        <v>182</v>
      </c>
      <c r="K235" s="175">
        <v>0</v>
      </c>
      <c r="L235" s="175">
        <v>0</v>
      </c>
      <c r="M235" s="175">
        <v>0</v>
      </c>
      <c r="N235" s="175">
        <v>0</v>
      </c>
      <c r="O235" s="175">
        <v>0</v>
      </c>
      <c r="P235" s="175">
        <v>0</v>
      </c>
    </row>
    <row r="236" spans="1:16" ht="22.5">
      <c r="A236" s="609"/>
      <c r="B236" s="572"/>
      <c r="C236" s="572"/>
      <c r="D236" s="609"/>
      <c r="E236" s="611"/>
      <c r="F236" s="178" t="s">
        <v>264</v>
      </c>
      <c r="G236" s="177">
        <f t="shared" si="49"/>
        <v>0</v>
      </c>
      <c r="H236" s="177" t="s">
        <v>182</v>
      </c>
      <c r="I236" s="177" t="s">
        <v>182</v>
      </c>
      <c r="J236" s="220" t="s">
        <v>182</v>
      </c>
      <c r="K236" s="175">
        <v>0</v>
      </c>
      <c r="L236" s="175">
        <v>0</v>
      </c>
      <c r="M236" s="175">
        <v>0</v>
      </c>
      <c r="N236" s="175">
        <v>0</v>
      </c>
      <c r="O236" s="175">
        <v>0</v>
      </c>
      <c r="P236" s="175">
        <v>0</v>
      </c>
    </row>
    <row r="237" spans="1:16">
      <c r="A237" s="609"/>
      <c r="B237" s="572"/>
      <c r="C237" s="572"/>
      <c r="D237" s="609"/>
      <c r="E237" s="611"/>
      <c r="F237" s="178" t="s">
        <v>265</v>
      </c>
      <c r="G237" s="177">
        <f t="shared" si="49"/>
        <v>0</v>
      </c>
      <c r="H237" s="177" t="s">
        <v>182</v>
      </c>
      <c r="I237" s="177" t="s">
        <v>182</v>
      </c>
      <c r="J237" s="220" t="s">
        <v>182</v>
      </c>
      <c r="K237" s="175">
        <v>0</v>
      </c>
      <c r="L237" s="175">
        <v>0</v>
      </c>
      <c r="M237" s="175">
        <v>0</v>
      </c>
      <c r="N237" s="175">
        <v>0</v>
      </c>
      <c r="O237" s="175">
        <v>0</v>
      </c>
      <c r="P237" s="175">
        <v>0</v>
      </c>
    </row>
    <row r="238" spans="1:16" ht="22.5">
      <c r="A238" s="613"/>
      <c r="B238" s="580"/>
      <c r="C238" s="580"/>
      <c r="D238" s="613"/>
      <c r="E238" s="612"/>
      <c r="F238" s="178" t="s">
        <v>260</v>
      </c>
      <c r="G238" s="177">
        <f t="shared" si="49"/>
        <v>0</v>
      </c>
      <c r="H238" s="177" t="s">
        <v>182</v>
      </c>
      <c r="I238" s="177" t="s">
        <v>182</v>
      </c>
      <c r="J238" s="220" t="s">
        <v>182</v>
      </c>
      <c r="K238" s="175">
        <f t="shared" ref="K238:P238" si="63">K233</f>
        <v>0</v>
      </c>
      <c r="L238" s="175">
        <f t="shared" si="63"/>
        <v>0</v>
      </c>
      <c r="M238" s="175">
        <f t="shared" si="63"/>
        <v>0</v>
      </c>
      <c r="N238" s="175">
        <f t="shared" si="63"/>
        <v>0</v>
      </c>
      <c r="O238" s="175">
        <f t="shared" si="63"/>
        <v>0</v>
      </c>
      <c r="P238" s="175">
        <f t="shared" si="63"/>
        <v>0</v>
      </c>
    </row>
    <row r="239" spans="1:16">
      <c r="A239" s="608" t="s">
        <v>83</v>
      </c>
      <c r="B239" s="571" t="s">
        <v>144</v>
      </c>
      <c r="C239" s="571" t="s">
        <v>17</v>
      </c>
      <c r="D239" s="608" t="s">
        <v>28</v>
      </c>
      <c r="E239" s="610" t="s">
        <v>285</v>
      </c>
      <c r="F239" s="178" t="s">
        <v>50</v>
      </c>
      <c r="G239" s="177">
        <f t="shared" si="49"/>
        <v>0</v>
      </c>
      <c r="H239" s="177" t="s">
        <v>182</v>
      </c>
      <c r="I239" s="177" t="s">
        <v>182</v>
      </c>
      <c r="J239" s="220" t="s">
        <v>182</v>
      </c>
      <c r="K239" s="175">
        <f t="shared" ref="K239:P239" si="64">K240+K241+K244+K245</f>
        <v>0</v>
      </c>
      <c r="L239" s="175">
        <f t="shared" si="64"/>
        <v>0</v>
      </c>
      <c r="M239" s="175">
        <f t="shared" si="64"/>
        <v>0</v>
      </c>
      <c r="N239" s="175">
        <f t="shared" si="64"/>
        <v>0</v>
      </c>
      <c r="O239" s="175">
        <f t="shared" si="64"/>
        <v>0</v>
      </c>
      <c r="P239" s="175">
        <f t="shared" si="64"/>
        <v>0</v>
      </c>
    </row>
    <row r="240" spans="1:16">
      <c r="A240" s="609"/>
      <c r="B240" s="572"/>
      <c r="C240" s="572"/>
      <c r="D240" s="609"/>
      <c r="E240" s="611"/>
      <c r="F240" s="178" t="s">
        <v>124</v>
      </c>
      <c r="G240" s="177">
        <f t="shared" si="49"/>
        <v>0</v>
      </c>
      <c r="H240" s="177" t="s">
        <v>182</v>
      </c>
      <c r="I240" s="177" t="s">
        <v>182</v>
      </c>
      <c r="J240" s="220" t="s">
        <v>182</v>
      </c>
      <c r="K240" s="175">
        <v>0</v>
      </c>
      <c r="L240" s="175">
        <v>0</v>
      </c>
      <c r="M240" s="175">
        <v>0</v>
      </c>
      <c r="N240" s="175">
        <v>0</v>
      </c>
      <c r="O240" s="175">
        <v>0</v>
      </c>
      <c r="P240" s="175">
        <v>0</v>
      </c>
    </row>
    <row r="241" spans="1:16" ht="22.5">
      <c r="A241" s="609"/>
      <c r="B241" s="572"/>
      <c r="C241" s="572"/>
      <c r="D241" s="609"/>
      <c r="E241" s="611"/>
      <c r="F241" s="178" t="s">
        <v>148</v>
      </c>
      <c r="G241" s="177">
        <f t="shared" si="49"/>
        <v>0</v>
      </c>
      <c r="H241" s="177" t="s">
        <v>182</v>
      </c>
      <c r="I241" s="177" t="s">
        <v>182</v>
      </c>
      <c r="J241" s="220" t="s">
        <v>182</v>
      </c>
      <c r="K241" s="175">
        <f t="shared" ref="K241:P241" si="65">K242+K243</f>
        <v>0</v>
      </c>
      <c r="L241" s="175">
        <f t="shared" si="65"/>
        <v>0</v>
      </c>
      <c r="M241" s="175">
        <f t="shared" si="65"/>
        <v>0</v>
      </c>
      <c r="N241" s="175">
        <f t="shared" si="65"/>
        <v>0</v>
      </c>
      <c r="O241" s="175">
        <f t="shared" si="65"/>
        <v>0</v>
      </c>
      <c r="P241" s="175">
        <f t="shared" si="65"/>
        <v>0</v>
      </c>
    </row>
    <row r="242" spans="1:16" ht="22.5">
      <c r="A242" s="609"/>
      <c r="B242" s="572"/>
      <c r="C242" s="572"/>
      <c r="D242" s="609"/>
      <c r="E242" s="611"/>
      <c r="F242" s="178" t="s">
        <v>123</v>
      </c>
      <c r="G242" s="177">
        <f>K242+L242+M242</f>
        <v>0</v>
      </c>
      <c r="H242" s="177" t="s">
        <v>182</v>
      </c>
      <c r="I242" s="177" t="s">
        <v>182</v>
      </c>
      <c r="J242" s="220" t="s">
        <v>182</v>
      </c>
      <c r="K242" s="175">
        <v>0</v>
      </c>
      <c r="L242" s="175">
        <v>0</v>
      </c>
      <c r="M242" s="175">
        <v>0</v>
      </c>
      <c r="N242" s="175">
        <v>0</v>
      </c>
      <c r="O242" s="175">
        <v>0</v>
      </c>
      <c r="P242" s="175">
        <v>0</v>
      </c>
    </row>
    <row r="243" spans="1:16" ht="22.5">
      <c r="A243" s="609"/>
      <c r="B243" s="572"/>
      <c r="C243" s="572"/>
      <c r="D243" s="609"/>
      <c r="E243" s="611"/>
      <c r="F243" s="178" t="s">
        <v>147</v>
      </c>
      <c r="G243" s="177">
        <f t="shared" si="49"/>
        <v>0</v>
      </c>
      <c r="H243" s="177" t="s">
        <v>182</v>
      </c>
      <c r="I243" s="177" t="s">
        <v>182</v>
      </c>
      <c r="J243" s="220" t="s">
        <v>182</v>
      </c>
      <c r="K243" s="175">
        <v>0</v>
      </c>
      <c r="L243" s="175">
        <v>0</v>
      </c>
      <c r="M243" s="175">
        <v>0</v>
      </c>
      <c r="N243" s="175">
        <v>0</v>
      </c>
      <c r="O243" s="175">
        <v>0</v>
      </c>
      <c r="P243" s="175">
        <v>0</v>
      </c>
    </row>
    <row r="244" spans="1:16" ht="22.5">
      <c r="A244" s="609"/>
      <c r="B244" s="572"/>
      <c r="C244" s="572"/>
      <c r="D244" s="609"/>
      <c r="E244" s="611"/>
      <c r="F244" s="178" t="s">
        <v>264</v>
      </c>
      <c r="G244" s="177">
        <f t="shared" si="49"/>
        <v>0</v>
      </c>
      <c r="H244" s="177" t="s">
        <v>182</v>
      </c>
      <c r="I244" s="177" t="s">
        <v>182</v>
      </c>
      <c r="J244" s="220" t="s">
        <v>182</v>
      </c>
      <c r="K244" s="175">
        <v>0</v>
      </c>
      <c r="L244" s="175">
        <v>0</v>
      </c>
      <c r="M244" s="175">
        <v>0</v>
      </c>
      <c r="N244" s="175">
        <v>0</v>
      </c>
      <c r="O244" s="175">
        <v>0</v>
      </c>
      <c r="P244" s="175">
        <v>0</v>
      </c>
    </row>
    <row r="245" spans="1:16">
      <c r="A245" s="609"/>
      <c r="B245" s="572"/>
      <c r="C245" s="572"/>
      <c r="D245" s="609"/>
      <c r="E245" s="611"/>
      <c r="F245" s="178" t="s">
        <v>265</v>
      </c>
      <c r="G245" s="177">
        <f t="shared" si="49"/>
        <v>0</v>
      </c>
      <c r="H245" s="177" t="s">
        <v>182</v>
      </c>
      <c r="I245" s="177" t="s">
        <v>182</v>
      </c>
      <c r="J245" s="220" t="s">
        <v>182</v>
      </c>
      <c r="K245" s="175">
        <v>0</v>
      </c>
      <c r="L245" s="175">
        <v>0</v>
      </c>
      <c r="M245" s="175">
        <v>0</v>
      </c>
      <c r="N245" s="175">
        <v>0</v>
      </c>
      <c r="O245" s="175">
        <v>0</v>
      </c>
      <c r="P245" s="175">
        <v>0</v>
      </c>
    </row>
    <row r="246" spans="1:16" ht="22.5">
      <c r="A246" s="609"/>
      <c r="B246" s="572"/>
      <c r="C246" s="572"/>
      <c r="D246" s="609"/>
      <c r="E246" s="611"/>
      <c r="F246" s="178" t="s">
        <v>76</v>
      </c>
      <c r="G246" s="177">
        <f t="shared" si="49"/>
        <v>0</v>
      </c>
      <c r="H246" s="177" t="s">
        <v>182</v>
      </c>
      <c r="I246" s="177" t="s">
        <v>182</v>
      </c>
      <c r="J246" s="220" t="s">
        <v>182</v>
      </c>
      <c r="K246" s="175">
        <v>0</v>
      </c>
      <c r="L246" s="175">
        <v>0</v>
      </c>
      <c r="M246" s="175">
        <v>0</v>
      </c>
      <c r="N246" s="175">
        <v>0</v>
      </c>
      <c r="O246" s="175">
        <v>0</v>
      </c>
      <c r="P246" s="175">
        <v>0</v>
      </c>
    </row>
    <row r="247" spans="1:16" ht="22.5">
      <c r="A247" s="613"/>
      <c r="B247" s="580"/>
      <c r="C247" s="580"/>
      <c r="D247" s="613"/>
      <c r="E247" s="612"/>
      <c r="F247" s="178" t="s">
        <v>260</v>
      </c>
      <c r="G247" s="177">
        <f t="shared" si="49"/>
        <v>0</v>
      </c>
      <c r="H247" s="177" t="s">
        <v>182</v>
      </c>
      <c r="I247" s="177" t="s">
        <v>182</v>
      </c>
      <c r="J247" s="220" t="s">
        <v>182</v>
      </c>
      <c r="K247" s="175">
        <f t="shared" ref="K247:P247" si="66">K241</f>
        <v>0</v>
      </c>
      <c r="L247" s="175">
        <f t="shared" si="66"/>
        <v>0</v>
      </c>
      <c r="M247" s="175">
        <f t="shared" si="66"/>
        <v>0</v>
      </c>
      <c r="N247" s="175">
        <f t="shared" si="66"/>
        <v>0</v>
      </c>
      <c r="O247" s="175">
        <f t="shared" si="66"/>
        <v>0</v>
      </c>
      <c r="P247" s="175">
        <f t="shared" si="66"/>
        <v>0</v>
      </c>
    </row>
    <row r="248" spans="1:16" ht="36" customHeight="1">
      <c r="A248" s="8" t="s">
        <v>83</v>
      </c>
      <c r="B248" s="9" t="s">
        <v>144</v>
      </c>
      <c r="C248" s="9" t="s">
        <v>18</v>
      </c>
      <c r="D248" s="8"/>
      <c r="E248" s="620" t="s">
        <v>541</v>
      </c>
      <c r="F248" s="620"/>
      <c r="G248" s="177">
        <f t="shared" si="49"/>
        <v>0</v>
      </c>
      <c r="H248" s="177" t="s">
        <v>182</v>
      </c>
      <c r="I248" s="177" t="s">
        <v>182</v>
      </c>
      <c r="J248" s="220" t="s">
        <v>182</v>
      </c>
      <c r="K248" s="177">
        <f t="shared" ref="K248:P248" si="67">K249+K257+K265</f>
        <v>0</v>
      </c>
      <c r="L248" s="177">
        <f t="shared" si="67"/>
        <v>0</v>
      </c>
      <c r="M248" s="177">
        <f t="shared" si="67"/>
        <v>0</v>
      </c>
      <c r="N248" s="177">
        <f t="shared" si="67"/>
        <v>0</v>
      </c>
      <c r="O248" s="177">
        <f t="shared" si="67"/>
        <v>0</v>
      </c>
      <c r="P248" s="177">
        <f t="shared" si="67"/>
        <v>0</v>
      </c>
    </row>
    <row r="249" spans="1:16">
      <c r="A249" s="608" t="s">
        <v>83</v>
      </c>
      <c r="B249" s="571" t="s">
        <v>144</v>
      </c>
      <c r="C249" s="571" t="s">
        <v>18</v>
      </c>
      <c r="D249" s="608" t="s">
        <v>15</v>
      </c>
      <c r="E249" s="610" t="s">
        <v>283</v>
      </c>
      <c r="F249" s="178" t="s">
        <v>50</v>
      </c>
      <c r="G249" s="177">
        <f t="shared" si="49"/>
        <v>0</v>
      </c>
      <c r="H249" s="177" t="s">
        <v>182</v>
      </c>
      <c r="I249" s="177" t="s">
        <v>182</v>
      </c>
      <c r="J249" s="220" t="s">
        <v>182</v>
      </c>
      <c r="K249" s="175">
        <f t="shared" ref="K249:P249" si="68">K250+K251+K254+K255</f>
        <v>0</v>
      </c>
      <c r="L249" s="175">
        <f t="shared" si="68"/>
        <v>0</v>
      </c>
      <c r="M249" s="175">
        <f t="shared" si="68"/>
        <v>0</v>
      </c>
      <c r="N249" s="175">
        <f t="shared" si="68"/>
        <v>0</v>
      </c>
      <c r="O249" s="175">
        <f t="shared" si="68"/>
        <v>0</v>
      </c>
      <c r="P249" s="175">
        <f t="shared" si="68"/>
        <v>0</v>
      </c>
    </row>
    <row r="250" spans="1:16">
      <c r="A250" s="609"/>
      <c r="B250" s="572"/>
      <c r="C250" s="572"/>
      <c r="D250" s="609"/>
      <c r="E250" s="611"/>
      <c r="F250" s="178" t="s">
        <v>124</v>
      </c>
      <c r="G250" s="177">
        <f t="shared" si="49"/>
        <v>0</v>
      </c>
      <c r="H250" s="177" t="s">
        <v>182</v>
      </c>
      <c r="I250" s="177" t="s">
        <v>182</v>
      </c>
      <c r="J250" s="220" t="s">
        <v>182</v>
      </c>
      <c r="K250" s="175">
        <f>K252/19*81</f>
        <v>0</v>
      </c>
      <c r="L250" s="175">
        <v>0</v>
      </c>
      <c r="M250" s="175">
        <v>0</v>
      </c>
      <c r="N250" s="175">
        <v>0</v>
      </c>
      <c r="O250" s="175">
        <v>0</v>
      </c>
      <c r="P250" s="175">
        <v>0</v>
      </c>
    </row>
    <row r="251" spans="1:16" ht="22.5">
      <c r="A251" s="609"/>
      <c r="B251" s="572"/>
      <c r="C251" s="572"/>
      <c r="D251" s="609"/>
      <c r="E251" s="611"/>
      <c r="F251" s="178" t="s">
        <v>148</v>
      </c>
      <c r="G251" s="177">
        <f t="shared" si="49"/>
        <v>0</v>
      </c>
      <c r="H251" s="177" t="s">
        <v>182</v>
      </c>
      <c r="I251" s="177" t="s">
        <v>182</v>
      </c>
      <c r="J251" s="220" t="s">
        <v>182</v>
      </c>
      <c r="K251" s="175">
        <f t="shared" ref="K251:P251" si="69">K252+K253</f>
        <v>0</v>
      </c>
      <c r="L251" s="175">
        <f t="shared" si="69"/>
        <v>0</v>
      </c>
      <c r="M251" s="175">
        <f t="shared" si="69"/>
        <v>0</v>
      </c>
      <c r="N251" s="175">
        <f t="shared" si="69"/>
        <v>0</v>
      </c>
      <c r="O251" s="175">
        <f t="shared" si="69"/>
        <v>0</v>
      </c>
      <c r="P251" s="175">
        <f t="shared" si="69"/>
        <v>0</v>
      </c>
    </row>
    <row r="252" spans="1:16" ht="22.5">
      <c r="A252" s="609"/>
      <c r="B252" s="572"/>
      <c r="C252" s="572"/>
      <c r="D252" s="609"/>
      <c r="E252" s="611"/>
      <c r="F252" s="178" t="s">
        <v>123</v>
      </c>
      <c r="G252" s="177">
        <f t="shared" si="49"/>
        <v>0</v>
      </c>
      <c r="H252" s="177" t="s">
        <v>182</v>
      </c>
      <c r="I252" s="177" t="s">
        <v>182</v>
      </c>
      <c r="J252" s="220" t="s">
        <v>182</v>
      </c>
      <c r="K252" s="175">
        <v>0</v>
      </c>
      <c r="L252" s="175">
        <v>0</v>
      </c>
      <c r="M252" s="175">
        <v>0</v>
      </c>
      <c r="N252" s="175">
        <v>0</v>
      </c>
      <c r="O252" s="175">
        <v>0</v>
      </c>
      <c r="P252" s="175">
        <v>0</v>
      </c>
    </row>
    <row r="253" spans="1:16" ht="22.5">
      <c r="A253" s="609"/>
      <c r="B253" s="572"/>
      <c r="C253" s="572"/>
      <c r="D253" s="609"/>
      <c r="E253" s="611"/>
      <c r="F253" s="178" t="s">
        <v>147</v>
      </c>
      <c r="G253" s="177">
        <f t="shared" si="49"/>
        <v>0</v>
      </c>
      <c r="H253" s="177" t="s">
        <v>182</v>
      </c>
      <c r="I253" s="177" t="s">
        <v>182</v>
      </c>
      <c r="J253" s="220" t="s">
        <v>182</v>
      </c>
      <c r="K253" s="175">
        <v>0</v>
      </c>
      <c r="L253" s="175">
        <v>0</v>
      </c>
      <c r="M253" s="175">
        <v>0</v>
      </c>
      <c r="N253" s="175">
        <v>0</v>
      </c>
      <c r="O253" s="175">
        <v>0</v>
      </c>
      <c r="P253" s="175">
        <v>0</v>
      </c>
    </row>
    <row r="254" spans="1:16" ht="22.5">
      <c r="A254" s="609"/>
      <c r="B254" s="572"/>
      <c r="C254" s="572"/>
      <c r="D254" s="609"/>
      <c r="E254" s="611"/>
      <c r="F254" s="178" t="s">
        <v>264</v>
      </c>
      <c r="G254" s="177">
        <f t="shared" si="49"/>
        <v>0</v>
      </c>
      <c r="H254" s="177" t="s">
        <v>182</v>
      </c>
      <c r="I254" s="177" t="s">
        <v>182</v>
      </c>
      <c r="J254" s="220" t="s">
        <v>182</v>
      </c>
      <c r="K254" s="175">
        <v>0</v>
      </c>
      <c r="L254" s="175">
        <v>0</v>
      </c>
      <c r="M254" s="175">
        <v>0</v>
      </c>
      <c r="N254" s="175">
        <v>0</v>
      </c>
      <c r="O254" s="175">
        <v>0</v>
      </c>
      <c r="P254" s="175">
        <v>0</v>
      </c>
    </row>
    <row r="255" spans="1:16">
      <c r="A255" s="609"/>
      <c r="B255" s="572"/>
      <c r="C255" s="572"/>
      <c r="D255" s="609"/>
      <c r="E255" s="611"/>
      <c r="F255" s="178" t="s">
        <v>265</v>
      </c>
      <c r="G255" s="177">
        <f>K255+L255+M255</f>
        <v>0</v>
      </c>
      <c r="H255" s="177" t="s">
        <v>182</v>
      </c>
      <c r="I255" s="177" t="s">
        <v>182</v>
      </c>
      <c r="J255" s="220" t="s">
        <v>182</v>
      </c>
      <c r="K255" s="175">
        <v>0</v>
      </c>
      <c r="L255" s="175">
        <v>0</v>
      </c>
      <c r="M255" s="175">
        <v>0</v>
      </c>
      <c r="N255" s="175">
        <v>0</v>
      </c>
      <c r="O255" s="175">
        <v>0</v>
      </c>
      <c r="P255" s="175">
        <v>0</v>
      </c>
    </row>
    <row r="256" spans="1:16" ht="22.5">
      <c r="A256" s="613"/>
      <c r="B256" s="580"/>
      <c r="C256" s="580"/>
      <c r="D256" s="613"/>
      <c r="E256" s="612"/>
      <c r="F256" s="178" t="s">
        <v>356</v>
      </c>
      <c r="G256" s="177">
        <f t="shared" si="49"/>
        <v>0</v>
      </c>
      <c r="H256" s="177" t="s">
        <v>182</v>
      </c>
      <c r="I256" s="177" t="s">
        <v>182</v>
      </c>
      <c r="J256" s="220" t="s">
        <v>182</v>
      </c>
      <c r="K256" s="175">
        <f t="shared" ref="K256:P256" si="70">K251</f>
        <v>0</v>
      </c>
      <c r="L256" s="175">
        <f t="shared" si="70"/>
        <v>0</v>
      </c>
      <c r="M256" s="175">
        <f t="shared" si="70"/>
        <v>0</v>
      </c>
      <c r="N256" s="175">
        <f t="shared" si="70"/>
        <v>0</v>
      </c>
      <c r="O256" s="175">
        <f t="shared" si="70"/>
        <v>0</v>
      </c>
      <c r="P256" s="175">
        <f t="shared" si="70"/>
        <v>0</v>
      </c>
    </row>
    <row r="257" spans="1:16">
      <c r="A257" s="608" t="s">
        <v>83</v>
      </c>
      <c r="B257" s="571" t="s">
        <v>144</v>
      </c>
      <c r="C257" s="571" t="s">
        <v>18</v>
      </c>
      <c r="D257" s="608" t="s">
        <v>16</v>
      </c>
      <c r="E257" s="610" t="s">
        <v>282</v>
      </c>
      <c r="F257" s="178" t="s">
        <v>50</v>
      </c>
      <c r="G257" s="177">
        <f t="shared" si="49"/>
        <v>0</v>
      </c>
      <c r="H257" s="177" t="s">
        <v>182</v>
      </c>
      <c r="I257" s="177" t="s">
        <v>182</v>
      </c>
      <c r="J257" s="220" t="s">
        <v>182</v>
      </c>
      <c r="K257" s="175">
        <f t="shared" ref="K257:P257" si="71">K258+K259+K262+K263</f>
        <v>0</v>
      </c>
      <c r="L257" s="175">
        <f t="shared" si="71"/>
        <v>0</v>
      </c>
      <c r="M257" s="175">
        <f t="shared" si="71"/>
        <v>0</v>
      </c>
      <c r="N257" s="175">
        <f t="shared" si="71"/>
        <v>0</v>
      </c>
      <c r="O257" s="175">
        <f t="shared" si="71"/>
        <v>0</v>
      </c>
      <c r="P257" s="175">
        <f t="shared" si="71"/>
        <v>0</v>
      </c>
    </row>
    <row r="258" spans="1:16">
      <c r="A258" s="609"/>
      <c r="B258" s="572"/>
      <c r="C258" s="572"/>
      <c r="D258" s="609"/>
      <c r="E258" s="611"/>
      <c r="F258" s="178" t="s">
        <v>124</v>
      </c>
      <c r="G258" s="177">
        <f t="shared" si="49"/>
        <v>0</v>
      </c>
      <c r="H258" s="177" t="s">
        <v>182</v>
      </c>
      <c r="I258" s="177" t="s">
        <v>182</v>
      </c>
      <c r="J258" s="220" t="s">
        <v>182</v>
      </c>
      <c r="K258" s="175">
        <f>K260/19*81</f>
        <v>0</v>
      </c>
      <c r="L258" s="175">
        <v>0</v>
      </c>
      <c r="M258" s="175">
        <v>0</v>
      </c>
      <c r="N258" s="175">
        <v>0</v>
      </c>
      <c r="O258" s="175">
        <v>0</v>
      </c>
      <c r="P258" s="175">
        <v>0</v>
      </c>
    </row>
    <row r="259" spans="1:16" ht="22.5">
      <c r="A259" s="609"/>
      <c r="B259" s="572"/>
      <c r="C259" s="572"/>
      <c r="D259" s="609"/>
      <c r="E259" s="611"/>
      <c r="F259" s="178" t="s">
        <v>148</v>
      </c>
      <c r="G259" s="177">
        <f t="shared" ref="G259:G268" si="72">K259+L259+M259</f>
        <v>0</v>
      </c>
      <c r="H259" s="177" t="s">
        <v>182</v>
      </c>
      <c r="I259" s="177" t="s">
        <v>182</v>
      </c>
      <c r="J259" s="220" t="s">
        <v>182</v>
      </c>
      <c r="K259" s="175">
        <f t="shared" ref="K259:P259" si="73">K260+K261</f>
        <v>0</v>
      </c>
      <c r="L259" s="175">
        <f t="shared" si="73"/>
        <v>0</v>
      </c>
      <c r="M259" s="175">
        <f t="shared" si="73"/>
        <v>0</v>
      </c>
      <c r="N259" s="175">
        <f t="shared" si="73"/>
        <v>0</v>
      </c>
      <c r="O259" s="175">
        <f t="shared" si="73"/>
        <v>0</v>
      </c>
      <c r="P259" s="175">
        <f t="shared" si="73"/>
        <v>0</v>
      </c>
    </row>
    <row r="260" spans="1:16" ht="22.5">
      <c r="A260" s="609"/>
      <c r="B260" s="572"/>
      <c r="C260" s="572"/>
      <c r="D260" s="609"/>
      <c r="E260" s="611"/>
      <c r="F260" s="178" t="s">
        <v>123</v>
      </c>
      <c r="G260" s="177">
        <f t="shared" si="72"/>
        <v>0</v>
      </c>
      <c r="H260" s="177" t="s">
        <v>182</v>
      </c>
      <c r="I260" s="177" t="s">
        <v>182</v>
      </c>
      <c r="J260" s="220" t="s">
        <v>182</v>
      </c>
      <c r="K260" s="175">
        <v>0</v>
      </c>
      <c r="L260" s="175">
        <v>0</v>
      </c>
      <c r="M260" s="175">
        <v>0</v>
      </c>
      <c r="N260" s="175">
        <v>0</v>
      </c>
      <c r="O260" s="175">
        <v>0</v>
      </c>
      <c r="P260" s="175">
        <v>0</v>
      </c>
    </row>
    <row r="261" spans="1:16" ht="22.5">
      <c r="A261" s="609"/>
      <c r="B261" s="572"/>
      <c r="C261" s="572"/>
      <c r="D261" s="609"/>
      <c r="E261" s="611"/>
      <c r="F261" s="178" t="s">
        <v>147</v>
      </c>
      <c r="G261" s="177">
        <f t="shared" si="72"/>
        <v>0</v>
      </c>
      <c r="H261" s="177" t="s">
        <v>182</v>
      </c>
      <c r="I261" s="177" t="s">
        <v>182</v>
      </c>
      <c r="J261" s="220" t="s">
        <v>182</v>
      </c>
      <c r="K261" s="175">
        <v>0</v>
      </c>
      <c r="L261" s="175">
        <v>0</v>
      </c>
      <c r="M261" s="175">
        <v>0</v>
      </c>
      <c r="N261" s="175">
        <v>0</v>
      </c>
      <c r="O261" s="175">
        <v>0</v>
      </c>
      <c r="P261" s="175">
        <v>0</v>
      </c>
    </row>
    <row r="262" spans="1:16" ht="22.5">
      <c r="A262" s="609"/>
      <c r="B262" s="572"/>
      <c r="C262" s="572"/>
      <c r="D262" s="609"/>
      <c r="E262" s="611"/>
      <c r="F262" s="178" t="s">
        <v>264</v>
      </c>
      <c r="G262" s="177">
        <f t="shared" si="72"/>
        <v>0</v>
      </c>
      <c r="H262" s="177" t="s">
        <v>182</v>
      </c>
      <c r="I262" s="177" t="s">
        <v>182</v>
      </c>
      <c r="J262" s="220" t="s">
        <v>182</v>
      </c>
      <c r="K262" s="175">
        <v>0</v>
      </c>
      <c r="L262" s="175">
        <v>0</v>
      </c>
      <c r="M262" s="175">
        <v>0</v>
      </c>
      <c r="N262" s="175">
        <v>0</v>
      </c>
      <c r="O262" s="175">
        <v>0</v>
      </c>
      <c r="P262" s="175">
        <v>0</v>
      </c>
    </row>
    <row r="263" spans="1:16">
      <c r="A263" s="609"/>
      <c r="B263" s="572"/>
      <c r="C263" s="572"/>
      <c r="D263" s="609"/>
      <c r="E263" s="611"/>
      <c r="F263" s="178" t="s">
        <v>265</v>
      </c>
      <c r="G263" s="177">
        <f t="shared" si="72"/>
        <v>0</v>
      </c>
      <c r="H263" s="177" t="s">
        <v>182</v>
      </c>
      <c r="I263" s="177" t="s">
        <v>182</v>
      </c>
      <c r="J263" s="220" t="s">
        <v>182</v>
      </c>
      <c r="K263" s="175">
        <v>0</v>
      </c>
      <c r="L263" s="175">
        <v>0</v>
      </c>
      <c r="M263" s="175">
        <v>0</v>
      </c>
      <c r="N263" s="175">
        <v>0</v>
      </c>
      <c r="O263" s="175">
        <v>0</v>
      </c>
      <c r="P263" s="175">
        <v>0</v>
      </c>
    </row>
    <row r="264" spans="1:16" ht="22.5">
      <c r="A264" s="613"/>
      <c r="B264" s="580"/>
      <c r="C264" s="580"/>
      <c r="D264" s="613"/>
      <c r="E264" s="612"/>
      <c r="F264" s="178" t="s">
        <v>260</v>
      </c>
      <c r="G264" s="177">
        <f t="shared" si="72"/>
        <v>0</v>
      </c>
      <c r="H264" s="177" t="s">
        <v>182</v>
      </c>
      <c r="I264" s="177" t="s">
        <v>182</v>
      </c>
      <c r="J264" s="220" t="s">
        <v>182</v>
      </c>
      <c r="K264" s="175">
        <f t="shared" ref="K264:P264" si="74">K259</f>
        <v>0</v>
      </c>
      <c r="L264" s="175">
        <f t="shared" si="74"/>
        <v>0</v>
      </c>
      <c r="M264" s="175">
        <f t="shared" si="74"/>
        <v>0</v>
      </c>
      <c r="N264" s="175">
        <f t="shared" si="74"/>
        <v>0</v>
      </c>
      <c r="O264" s="175">
        <f t="shared" si="74"/>
        <v>0</v>
      </c>
      <c r="P264" s="175">
        <f t="shared" si="74"/>
        <v>0</v>
      </c>
    </row>
    <row r="265" spans="1:16">
      <c r="A265" s="608" t="s">
        <v>83</v>
      </c>
      <c r="B265" s="571" t="s">
        <v>144</v>
      </c>
      <c r="C265" s="571" t="s">
        <v>18</v>
      </c>
      <c r="D265" s="608" t="s">
        <v>17</v>
      </c>
      <c r="E265" s="610" t="s">
        <v>304</v>
      </c>
      <c r="F265" s="178" t="s">
        <v>50</v>
      </c>
      <c r="G265" s="177">
        <f t="shared" si="72"/>
        <v>0</v>
      </c>
      <c r="H265" s="177" t="s">
        <v>182</v>
      </c>
      <c r="I265" s="177" t="s">
        <v>182</v>
      </c>
      <c r="J265" s="220" t="s">
        <v>182</v>
      </c>
      <c r="K265" s="175">
        <f t="shared" ref="K265:P265" si="75">K266+K267+K270+K271</f>
        <v>0</v>
      </c>
      <c r="L265" s="175">
        <f t="shared" si="75"/>
        <v>0</v>
      </c>
      <c r="M265" s="175">
        <f t="shared" si="75"/>
        <v>0</v>
      </c>
      <c r="N265" s="175">
        <f t="shared" si="75"/>
        <v>0</v>
      </c>
      <c r="O265" s="175">
        <f t="shared" si="75"/>
        <v>0</v>
      </c>
      <c r="P265" s="175">
        <f t="shared" si="75"/>
        <v>0</v>
      </c>
    </row>
    <row r="266" spans="1:16">
      <c r="A266" s="609"/>
      <c r="B266" s="572"/>
      <c r="C266" s="572"/>
      <c r="D266" s="609"/>
      <c r="E266" s="611"/>
      <c r="F266" s="178" t="s">
        <v>124</v>
      </c>
      <c r="G266" s="177">
        <f t="shared" si="72"/>
        <v>0</v>
      </c>
      <c r="H266" s="177" t="s">
        <v>182</v>
      </c>
      <c r="I266" s="177" t="s">
        <v>182</v>
      </c>
      <c r="J266" s="220" t="s">
        <v>182</v>
      </c>
      <c r="K266" s="175">
        <f>K268/19*81</f>
        <v>0</v>
      </c>
      <c r="L266" s="175">
        <v>0</v>
      </c>
      <c r="M266" s="175">
        <v>0</v>
      </c>
      <c r="N266" s="175">
        <v>0</v>
      </c>
      <c r="O266" s="175">
        <v>0</v>
      </c>
      <c r="P266" s="175">
        <v>0</v>
      </c>
    </row>
    <row r="267" spans="1:16" ht="22.5">
      <c r="A267" s="609"/>
      <c r="B267" s="572"/>
      <c r="C267" s="572"/>
      <c r="D267" s="609"/>
      <c r="E267" s="611"/>
      <c r="F267" s="178" t="s">
        <v>148</v>
      </c>
      <c r="G267" s="177">
        <f t="shared" si="72"/>
        <v>0</v>
      </c>
      <c r="H267" s="177" t="s">
        <v>182</v>
      </c>
      <c r="I267" s="177" t="s">
        <v>182</v>
      </c>
      <c r="J267" s="220" t="s">
        <v>182</v>
      </c>
      <c r="K267" s="175">
        <f t="shared" ref="K267:P267" si="76">K268+K269</f>
        <v>0</v>
      </c>
      <c r="L267" s="175">
        <f t="shared" si="76"/>
        <v>0</v>
      </c>
      <c r="M267" s="175">
        <f t="shared" si="76"/>
        <v>0</v>
      </c>
      <c r="N267" s="175">
        <f t="shared" si="76"/>
        <v>0</v>
      </c>
      <c r="O267" s="175">
        <f t="shared" si="76"/>
        <v>0</v>
      </c>
      <c r="P267" s="175">
        <f t="shared" si="76"/>
        <v>0</v>
      </c>
    </row>
    <row r="268" spans="1:16" ht="22.5">
      <c r="A268" s="609"/>
      <c r="B268" s="572"/>
      <c r="C268" s="572"/>
      <c r="D268" s="609"/>
      <c r="E268" s="611"/>
      <c r="F268" s="178" t="s">
        <v>123</v>
      </c>
      <c r="G268" s="177">
        <f t="shared" si="72"/>
        <v>0</v>
      </c>
      <c r="H268" s="177" t="s">
        <v>182</v>
      </c>
      <c r="I268" s="177" t="s">
        <v>182</v>
      </c>
      <c r="J268" s="220" t="s">
        <v>182</v>
      </c>
      <c r="K268" s="175">
        <v>0</v>
      </c>
      <c r="L268" s="175">
        <v>0</v>
      </c>
      <c r="M268" s="175">
        <v>0</v>
      </c>
      <c r="N268" s="175">
        <v>0</v>
      </c>
      <c r="O268" s="175">
        <v>0</v>
      </c>
      <c r="P268" s="175">
        <v>0</v>
      </c>
    </row>
    <row r="269" spans="1:16" ht="22.5">
      <c r="A269" s="609"/>
      <c r="B269" s="572"/>
      <c r="C269" s="572"/>
      <c r="D269" s="609"/>
      <c r="E269" s="611"/>
      <c r="F269" s="178" t="s">
        <v>147</v>
      </c>
      <c r="G269" s="177">
        <f>K269+L269+M269</f>
        <v>0</v>
      </c>
      <c r="H269" s="177" t="s">
        <v>182</v>
      </c>
      <c r="I269" s="177" t="s">
        <v>182</v>
      </c>
      <c r="J269" s="220" t="s">
        <v>182</v>
      </c>
      <c r="K269" s="175">
        <v>0</v>
      </c>
      <c r="L269" s="175">
        <v>0</v>
      </c>
      <c r="M269" s="175">
        <v>0</v>
      </c>
      <c r="N269" s="175">
        <v>0</v>
      </c>
      <c r="O269" s="175">
        <v>0</v>
      </c>
      <c r="P269" s="175">
        <v>0</v>
      </c>
    </row>
    <row r="270" spans="1:16" ht="22.5">
      <c r="A270" s="609"/>
      <c r="B270" s="572"/>
      <c r="C270" s="572"/>
      <c r="D270" s="609"/>
      <c r="E270" s="611"/>
      <c r="F270" s="178" t="s">
        <v>264</v>
      </c>
      <c r="G270" s="177">
        <f t="shared" ref="G270:G279" si="77">K270+L270+M270</f>
        <v>0</v>
      </c>
      <c r="H270" s="177" t="s">
        <v>182</v>
      </c>
      <c r="I270" s="177" t="s">
        <v>182</v>
      </c>
      <c r="J270" s="220" t="s">
        <v>182</v>
      </c>
      <c r="K270" s="175">
        <v>0</v>
      </c>
      <c r="L270" s="175">
        <v>0</v>
      </c>
      <c r="M270" s="175">
        <v>0</v>
      </c>
      <c r="N270" s="175">
        <v>0</v>
      </c>
      <c r="O270" s="175">
        <v>0</v>
      </c>
      <c r="P270" s="175">
        <v>0</v>
      </c>
    </row>
    <row r="271" spans="1:16">
      <c r="A271" s="609"/>
      <c r="B271" s="572"/>
      <c r="C271" s="572"/>
      <c r="D271" s="609"/>
      <c r="E271" s="611"/>
      <c r="F271" s="178" t="s">
        <v>265</v>
      </c>
      <c r="G271" s="177">
        <f t="shared" si="77"/>
        <v>0</v>
      </c>
      <c r="H271" s="177" t="s">
        <v>182</v>
      </c>
      <c r="I271" s="177" t="s">
        <v>182</v>
      </c>
      <c r="J271" s="220" t="s">
        <v>182</v>
      </c>
      <c r="K271" s="175">
        <v>0</v>
      </c>
      <c r="L271" s="175">
        <v>0</v>
      </c>
      <c r="M271" s="175">
        <v>0</v>
      </c>
      <c r="N271" s="175">
        <v>0</v>
      </c>
      <c r="O271" s="175">
        <v>0</v>
      </c>
      <c r="P271" s="175">
        <v>0</v>
      </c>
    </row>
    <row r="272" spans="1:16" ht="22.5">
      <c r="A272" s="613"/>
      <c r="B272" s="580"/>
      <c r="C272" s="580"/>
      <c r="D272" s="613"/>
      <c r="E272" s="612"/>
      <c r="F272" s="178" t="s">
        <v>260</v>
      </c>
      <c r="G272" s="177">
        <f t="shared" si="77"/>
        <v>0</v>
      </c>
      <c r="H272" s="177" t="s">
        <v>182</v>
      </c>
      <c r="I272" s="177" t="s">
        <v>182</v>
      </c>
      <c r="J272" s="220" t="s">
        <v>182</v>
      </c>
      <c r="K272" s="175">
        <f t="shared" ref="K272:P272" si="78">K267</f>
        <v>0</v>
      </c>
      <c r="L272" s="175">
        <f t="shared" si="78"/>
        <v>0</v>
      </c>
      <c r="M272" s="175">
        <f t="shared" si="78"/>
        <v>0</v>
      </c>
      <c r="N272" s="175">
        <f t="shared" si="78"/>
        <v>0</v>
      </c>
      <c r="O272" s="175">
        <f t="shared" si="78"/>
        <v>0</v>
      </c>
      <c r="P272" s="175">
        <f t="shared" si="78"/>
        <v>0</v>
      </c>
    </row>
    <row r="273" spans="1:16" ht="44.25" customHeight="1">
      <c r="A273" s="8" t="s">
        <v>83</v>
      </c>
      <c r="B273" s="9" t="s">
        <v>144</v>
      </c>
      <c r="C273" s="9" t="s">
        <v>29</v>
      </c>
      <c r="D273" s="8"/>
      <c r="E273" s="621" t="s">
        <v>348</v>
      </c>
      <c r="F273" s="622"/>
      <c r="G273" s="177">
        <f t="shared" si="77"/>
        <v>0</v>
      </c>
      <c r="H273" s="177" t="s">
        <v>182</v>
      </c>
      <c r="I273" s="175" t="s">
        <v>182</v>
      </c>
      <c r="J273" s="220" t="s">
        <v>182</v>
      </c>
      <c r="K273" s="177">
        <f t="shared" ref="K273:P273" si="79">K274+K282+K290+K298+K306+K314</f>
        <v>0</v>
      </c>
      <c r="L273" s="177">
        <f t="shared" si="79"/>
        <v>0</v>
      </c>
      <c r="M273" s="177">
        <f t="shared" si="79"/>
        <v>0</v>
      </c>
      <c r="N273" s="177">
        <f t="shared" si="79"/>
        <v>0</v>
      </c>
      <c r="O273" s="177">
        <f t="shared" si="79"/>
        <v>0</v>
      </c>
      <c r="P273" s="177">
        <f t="shared" si="79"/>
        <v>0</v>
      </c>
    </row>
    <row r="274" spans="1:16">
      <c r="A274" s="608" t="s">
        <v>83</v>
      </c>
      <c r="B274" s="571" t="s">
        <v>144</v>
      </c>
      <c r="C274" s="571" t="s">
        <v>29</v>
      </c>
      <c r="D274" s="608" t="s">
        <v>15</v>
      </c>
      <c r="E274" s="610" t="s">
        <v>280</v>
      </c>
      <c r="F274" s="178" t="s">
        <v>50</v>
      </c>
      <c r="G274" s="177">
        <f t="shared" si="77"/>
        <v>0</v>
      </c>
      <c r="H274" s="177" t="s">
        <v>182</v>
      </c>
      <c r="I274" s="177" t="s">
        <v>182</v>
      </c>
      <c r="J274" s="220" t="s">
        <v>182</v>
      </c>
      <c r="K274" s="175">
        <f t="shared" ref="K274:P274" si="80">K275+K276+K279+K280</f>
        <v>0</v>
      </c>
      <c r="L274" s="175">
        <f t="shared" si="80"/>
        <v>0</v>
      </c>
      <c r="M274" s="175">
        <f t="shared" si="80"/>
        <v>0</v>
      </c>
      <c r="N274" s="175">
        <f t="shared" si="80"/>
        <v>0</v>
      </c>
      <c r="O274" s="175">
        <f t="shared" si="80"/>
        <v>0</v>
      </c>
      <c r="P274" s="175">
        <f t="shared" si="80"/>
        <v>0</v>
      </c>
    </row>
    <row r="275" spans="1:16">
      <c r="A275" s="609"/>
      <c r="B275" s="572"/>
      <c r="C275" s="572"/>
      <c r="D275" s="609"/>
      <c r="E275" s="611"/>
      <c r="F275" s="178" t="s">
        <v>124</v>
      </c>
      <c r="G275" s="177">
        <f t="shared" si="77"/>
        <v>0</v>
      </c>
      <c r="H275" s="177" t="s">
        <v>182</v>
      </c>
      <c r="I275" s="177" t="s">
        <v>182</v>
      </c>
      <c r="J275" s="220" t="s">
        <v>182</v>
      </c>
      <c r="K275" s="175">
        <v>0</v>
      </c>
      <c r="L275" s="175">
        <v>0</v>
      </c>
      <c r="M275" s="175">
        <v>0</v>
      </c>
      <c r="N275" s="175">
        <v>0</v>
      </c>
      <c r="O275" s="175">
        <v>0</v>
      </c>
      <c r="P275" s="175">
        <v>0</v>
      </c>
    </row>
    <row r="276" spans="1:16" ht="22.5">
      <c r="A276" s="609"/>
      <c r="B276" s="572"/>
      <c r="C276" s="572"/>
      <c r="D276" s="609"/>
      <c r="E276" s="611"/>
      <c r="F276" s="178" t="s">
        <v>148</v>
      </c>
      <c r="G276" s="177">
        <f t="shared" si="77"/>
        <v>0</v>
      </c>
      <c r="H276" s="177" t="s">
        <v>182</v>
      </c>
      <c r="I276" s="177" t="s">
        <v>182</v>
      </c>
      <c r="J276" s="220" t="s">
        <v>182</v>
      </c>
      <c r="K276" s="175">
        <f t="shared" ref="K276:P276" si="81">K277+K278</f>
        <v>0</v>
      </c>
      <c r="L276" s="175">
        <f t="shared" si="81"/>
        <v>0</v>
      </c>
      <c r="M276" s="175">
        <f t="shared" si="81"/>
        <v>0</v>
      </c>
      <c r="N276" s="175">
        <f t="shared" si="81"/>
        <v>0</v>
      </c>
      <c r="O276" s="175">
        <f t="shared" si="81"/>
        <v>0</v>
      </c>
      <c r="P276" s="175">
        <f t="shared" si="81"/>
        <v>0</v>
      </c>
    </row>
    <row r="277" spans="1:16" ht="22.5">
      <c r="A277" s="609"/>
      <c r="B277" s="572"/>
      <c r="C277" s="572"/>
      <c r="D277" s="609"/>
      <c r="E277" s="611"/>
      <c r="F277" s="178" t="s">
        <v>123</v>
      </c>
      <c r="G277" s="177">
        <f t="shared" si="77"/>
        <v>0</v>
      </c>
      <c r="H277" s="177" t="s">
        <v>182</v>
      </c>
      <c r="I277" s="177" t="s">
        <v>182</v>
      </c>
      <c r="J277" s="220" t="s">
        <v>182</v>
      </c>
      <c r="K277" s="175">
        <v>0</v>
      </c>
      <c r="L277" s="175">
        <v>0</v>
      </c>
      <c r="M277" s="175">
        <v>0</v>
      </c>
      <c r="N277" s="175">
        <v>0</v>
      </c>
      <c r="O277" s="175">
        <v>0</v>
      </c>
      <c r="P277" s="175">
        <v>0</v>
      </c>
    </row>
    <row r="278" spans="1:16" ht="22.5">
      <c r="A278" s="609"/>
      <c r="B278" s="572"/>
      <c r="C278" s="572"/>
      <c r="D278" s="609"/>
      <c r="E278" s="611"/>
      <c r="F278" s="178" t="s">
        <v>147</v>
      </c>
      <c r="G278" s="177">
        <f t="shared" si="77"/>
        <v>0</v>
      </c>
      <c r="H278" s="177" t="s">
        <v>182</v>
      </c>
      <c r="I278" s="177" t="s">
        <v>182</v>
      </c>
      <c r="J278" s="220" t="s">
        <v>182</v>
      </c>
      <c r="K278" s="175">
        <v>0</v>
      </c>
      <c r="L278" s="175">
        <v>0</v>
      </c>
      <c r="M278" s="175">
        <v>0</v>
      </c>
      <c r="N278" s="175">
        <v>0</v>
      </c>
      <c r="O278" s="175">
        <v>0</v>
      </c>
      <c r="P278" s="175">
        <v>0</v>
      </c>
    </row>
    <row r="279" spans="1:16" ht="22.5">
      <c r="A279" s="609"/>
      <c r="B279" s="572"/>
      <c r="C279" s="572"/>
      <c r="D279" s="609"/>
      <c r="E279" s="611"/>
      <c r="F279" s="178" t="s">
        <v>264</v>
      </c>
      <c r="G279" s="177">
        <f t="shared" si="77"/>
        <v>0</v>
      </c>
      <c r="H279" s="177" t="s">
        <v>182</v>
      </c>
      <c r="I279" s="177" t="s">
        <v>182</v>
      </c>
      <c r="J279" s="220" t="s">
        <v>182</v>
      </c>
      <c r="K279" s="175">
        <v>0</v>
      </c>
      <c r="L279" s="175">
        <v>0</v>
      </c>
      <c r="M279" s="175">
        <v>0</v>
      </c>
      <c r="N279" s="175">
        <v>0</v>
      </c>
      <c r="O279" s="175">
        <v>0</v>
      </c>
      <c r="P279" s="175">
        <v>0</v>
      </c>
    </row>
    <row r="280" spans="1:16">
      <c r="A280" s="609"/>
      <c r="B280" s="572"/>
      <c r="C280" s="572"/>
      <c r="D280" s="609"/>
      <c r="E280" s="611"/>
      <c r="F280" s="178" t="s">
        <v>265</v>
      </c>
      <c r="G280" s="177">
        <f>K280+L280+M280</f>
        <v>0</v>
      </c>
      <c r="H280" s="177" t="s">
        <v>182</v>
      </c>
      <c r="I280" s="177" t="s">
        <v>182</v>
      </c>
      <c r="J280" s="220" t="s">
        <v>182</v>
      </c>
      <c r="K280" s="175">
        <v>0</v>
      </c>
      <c r="L280" s="175">
        <v>0</v>
      </c>
      <c r="M280" s="175">
        <v>0</v>
      </c>
      <c r="N280" s="175">
        <v>0</v>
      </c>
      <c r="O280" s="175">
        <v>0</v>
      </c>
      <c r="P280" s="175">
        <v>0</v>
      </c>
    </row>
    <row r="281" spans="1:16" ht="22.5">
      <c r="A281" s="613"/>
      <c r="B281" s="580"/>
      <c r="C281" s="580"/>
      <c r="D281" s="613"/>
      <c r="E281" s="612"/>
      <c r="F281" s="178" t="s">
        <v>260</v>
      </c>
      <c r="G281" s="177">
        <f t="shared" ref="G281:G293" si="82">K281+L281+M281</f>
        <v>0</v>
      </c>
      <c r="H281" s="177" t="s">
        <v>182</v>
      </c>
      <c r="I281" s="177" t="s">
        <v>182</v>
      </c>
      <c r="J281" s="220" t="s">
        <v>182</v>
      </c>
      <c r="K281" s="175">
        <f t="shared" ref="K281:P281" si="83">K276</f>
        <v>0</v>
      </c>
      <c r="L281" s="175">
        <f t="shared" si="83"/>
        <v>0</v>
      </c>
      <c r="M281" s="175">
        <f t="shared" si="83"/>
        <v>0</v>
      </c>
      <c r="N281" s="175">
        <f t="shared" si="83"/>
        <v>0</v>
      </c>
      <c r="O281" s="175">
        <f t="shared" si="83"/>
        <v>0</v>
      </c>
      <c r="P281" s="175">
        <f t="shared" si="83"/>
        <v>0</v>
      </c>
    </row>
    <row r="282" spans="1:16">
      <c r="A282" s="608" t="s">
        <v>83</v>
      </c>
      <c r="B282" s="571" t="s">
        <v>144</v>
      </c>
      <c r="C282" s="571" t="s">
        <v>29</v>
      </c>
      <c r="D282" s="608" t="s">
        <v>16</v>
      </c>
      <c r="E282" s="610" t="s">
        <v>279</v>
      </c>
      <c r="F282" s="178" t="s">
        <v>50</v>
      </c>
      <c r="G282" s="177">
        <f t="shared" si="82"/>
        <v>0</v>
      </c>
      <c r="H282" s="177" t="s">
        <v>182</v>
      </c>
      <c r="I282" s="177" t="s">
        <v>182</v>
      </c>
      <c r="J282" s="220" t="s">
        <v>182</v>
      </c>
      <c r="K282" s="175">
        <f t="shared" ref="K282:P282" si="84">K283+K284+K287+K288</f>
        <v>0</v>
      </c>
      <c r="L282" s="175">
        <f t="shared" si="84"/>
        <v>0</v>
      </c>
      <c r="M282" s="175">
        <f t="shared" si="84"/>
        <v>0</v>
      </c>
      <c r="N282" s="175">
        <f t="shared" si="84"/>
        <v>0</v>
      </c>
      <c r="O282" s="175">
        <f t="shared" si="84"/>
        <v>0</v>
      </c>
      <c r="P282" s="175">
        <f t="shared" si="84"/>
        <v>0</v>
      </c>
    </row>
    <row r="283" spans="1:16">
      <c r="A283" s="609"/>
      <c r="B283" s="572"/>
      <c r="C283" s="572"/>
      <c r="D283" s="609"/>
      <c r="E283" s="611"/>
      <c r="F283" s="178" t="s">
        <v>124</v>
      </c>
      <c r="G283" s="177">
        <f t="shared" si="82"/>
        <v>0</v>
      </c>
      <c r="H283" s="177" t="s">
        <v>182</v>
      </c>
      <c r="I283" s="177" t="s">
        <v>182</v>
      </c>
      <c r="J283" s="220" t="s">
        <v>182</v>
      </c>
      <c r="K283" s="175">
        <v>0</v>
      </c>
      <c r="L283" s="175">
        <v>0</v>
      </c>
      <c r="M283" s="175">
        <v>0</v>
      </c>
      <c r="N283" s="175">
        <v>0</v>
      </c>
      <c r="O283" s="175">
        <v>0</v>
      </c>
      <c r="P283" s="175">
        <v>0</v>
      </c>
    </row>
    <row r="284" spans="1:16" ht="22.5">
      <c r="A284" s="609"/>
      <c r="B284" s="572"/>
      <c r="C284" s="572"/>
      <c r="D284" s="609"/>
      <c r="E284" s="611"/>
      <c r="F284" s="178" t="s">
        <v>148</v>
      </c>
      <c r="G284" s="177">
        <f t="shared" si="82"/>
        <v>0</v>
      </c>
      <c r="H284" s="177" t="s">
        <v>182</v>
      </c>
      <c r="I284" s="177" t="s">
        <v>182</v>
      </c>
      <c r="J284" s="220" t="s">
        <v>182</v>
      </c>
      <c r="K284" s="175">
        <f t="shared" ref="K284:P284" si="85">K285+K286</f>
        <v>0</v>
      </c>
      <c r="L284" s="175">
        <f t="shared" si="85"/>
        <v>0</v>
      </c>
      <c r="M284" s="175">
        <f t="shared" si="85"/>
        <v>0</v>
      </c>
      <c r="N284" s="175">
        <f t="shared" si="85"/>
        <v>0</v>
      </c>
      <c r="O284" s="175">
        <f t="shared" si="85"/>
        <v>0</v>
      </c>
      <c r="P284" s="175">
        <f t="shared" si="85"/>
        <v>0</v>
      </c>
    </row>
    <row r="285" spans="1:16" ht="22.5">
      <c r="A285" s="609"/>
      <c r="B285" s="572"/>
      <c r="C285" s="572"/>
      <c r="D285" s="609"/>
      <c r="E285" s="611"/>
      <c r="F285" s="178" t="s">
        <v>123</v>
      </c>
      <c r="G285" s="177">
        <f t="shared" si="82"/>
        <v>0</v>
      </c>
      <c r="H285" s="177" t="s">
        <v>182</v>
      </c>
      <c r="I285" s="177" t="s">
        <v>182</v>
      </c>
      <c r="J285" s="220" t="s">
        <v>182</v>
      </c>
      <c r="K285" s="175">
        <v>0</v>
      </c>
      <c r="L285" s="175">
        <v>0</v>
      </c>
      <c r="M285" s="175">
        <v>0</v>
      </c>
      <c r="N285" s="175">
        <v>0</v>
      </c>
      <c r="O285" s="175">
        <v>0</v>
      </c>
      <c r="P285" s="175">
        <v>0</v>
      </c>
    </row>
    <row r="286" spans="1:16" ht="22.5">
      <c r="A286" s="609"/>
      <c r="B286" s="572"/>
      <c r="C286" s="572"/>
      <c r="D286" s="609"/>
      <c r="E286" s="611"/>
      <c r="F286" s="178" t="s">
        <v>147</v>
      </c>
      <c r="G286" s="177">
        <f t="shared" si="82"/>
        <v>0</v>
      </c>
      <c r="H286" s="177" t="s">
        <v>182</v>
      </c>
      <c r="I286" s="177" t="s">
        <v>182</v>
      </c>
      <c r="J286" s="220" t="s">
        <v>182</v>
      </c>
      <c r="K286" s="175">
        <v>0</v>
      </c>
      <c r="L286" s="175">
        <v>0</v>
      </c>
      <c r="M286" s="175">
        <v>0</v>
      </c>
      <c r="N286" s="175">
        <v>0</v>
      </c>
      <c r="O286" s="175">
        <v>0</v>
      </c>
      <c r="P286" s="175">
        <v>0</v>
      </c>
    </row>
    <row r="287" spans="1:16" ht="22.5">
      <c r="A287" s="609"/>
      <c r="B287" s="572"/>
      <c r="C287" s="572"/>
      <c r="D287" s="609"/>
      <c r="E287" s="611"/>
      <c r="F287" s="178" t="s">
        <v>264</v>
      </c>
      <c r="G287" s="177">
        <f t="shared" si="82"/>
        <v>0</v>
      </c>
      <c r="H287" s="177" t="s">
        <v>182</v>
      </c>
      <c r="I287" s="177" t="s">
        <v>182</v>
      </c>
      <c r="J287" s="220" t="s">
        <v>182</v>
      </c>
      <c r="K287" s="175">
        <v>0</v>
      </c>
      <c r="L287" s="175">
        <v>0</v>
      </c>
      <c r="M287" s="175">
        <v>0</v>
      </c>
      <c r="N287" s="175">
        <v>0</v>
      </c>
      <c r="O287" s="175">
        <v>0</v>
      </c>
      <c r="P287" s="175">
        <v>0</v>
      </c>
    </row>
    <row r="288" spans="1:16">
      <c r="A288" s="609"/>
      <c r="B288" s="572"/>
      <c r="C288" s="572"/>
      <c r="D288" s="609"/>
      <c r="E288" s="611"/>
      <c r="F288" s="178" t="s">
        <v>265</v>
      </c>
      <c r="G288" s="177">
        <f t="shared" si="82"/>
        <v>0</v>
      </c>
      <c r="H288" s="177" t="s">
        <v>182</v>
      </c>
      <c r="I288" s="177" t="s">
        <v>182</v>
      </c>
      <c r="J288" s="220" t="s">
        <v>182</v>
      </c>
      <c r="K288" s="175">
        <v>0</v>
      </c>
      <c r="L288" s="175">
        <v>0</v>
      </c>
      <c r="M288" s="175">
        <v>0</v>
      </c>
      <c r="N288" s="175">
        <v>0</v>
      </c>
      <c r="O288" s="175">
        <v>0</v>
      </c>
      <c r="P288" s="175">
        <v>0</v>
      </c>
    </row>
    <row r="289" spans="1:16" ht="22.5">
      <c r="A289" s="613"/>
      <c r="B289" s="580"/>
      <c r="C289" s="580"/>
      <c r="D289" s="613"/>
      <c r="E289" s="612"/>
      <c r="F289" s="178" t="s">
        <v>260</v>
      </c>
      <c r="G289" s="177">
        <f t="shared" si="82"/>
        <v>0</v>
      </c>
      <c r="H289" s="177" t="s">
        <v>182</v>
      </c>
      <c r="I289" s="177" t="s">
        <v>182</v>
      </c>
      <c r="J289" s="220" t="s">
        <v>182</v>
      </c>
      <c r="K289" s="175">
        <f t="shared" ref="K289:P289" si="86">K284</f>
        <v>0</v>
      </c>
      <c r="L289" s="175">
        <f t="shared" si="86"/>
        <v>0</v>
      </c>
      <c r="M289" s="175">
        <f t="shared" si="86"/>
        <v>0</v>
      </c>
      <c r="N289" s="175">
        <f t="shared" si="86"/>
        <v>0</v>
      </c>
      <c r="O289" s="175">
        <f t="shared" si="86"/>
        <v>0</v>
      </c>
      <c r="P289" s="175">
        <f t="shared" si="86"/>
        <v>0</v>
      </c>
    </row>
    <row r="290" spans="1:16">
      <c r="A290" s="608" t="s">
        <v>83</v>
      </c>
      <c r="B290" s="571" t="s">
        <v>144</v>
      </c>
      <c r="C290" s="571" t="s">
        <v>29</v>
      </c>
      <c r="D290" s="608" t="s">
        <v>17</v>
      </c>
      <c r="E290" s="610" t="s">
        <v>281</v>
      </c>
      <c r="F290" s="178" t="s">
        <v>50</v>
      </c>
      <c r="G290" s="177">
        <f t="shared" si="82"/>
        <v>0</v>
      </c>
      <c r="H290" s="177" t="s">
        <v>182</v>
      </c>
      <c r="I290" s="177" t="s">
        <v>182</v>
      </c>
      <c r="J290" s="220" t="s">
        <v>182</v>
      </c>
      <c r="K290" s="175">
        <f t="shared" ref="K290:P290" si="87">K291+K292+K295+K296</f>
        <v>0</v>
      </c>
      <c r="L290" s="175">
        <f t="shared" si="87"/>
        <v>0</v>
      </c>
      <c r="M290" s="175">
        <f t="shared" si="87"/>
        <v>0</v>
      </c>
      <c r="N290" s="175">
        <f t="shared" si="87"/>
        <v>0</v>
      </c>
      <c r="O290" s="175">
        <f t="shared" si="87"/>
        <v>0</v>
      </c>
      <c r="P290" s="175">
        <f t="shared" si="87"/>
        <v>0</v>
      </c>
    </row>
    <row r="291" spans="1:16">
      <c r="A291" s="609"/>
      <c r="B291" s="572"/>
      <c r="C291" s="572"/>
      <c r="D291" s="609"/>
      <c r="E291" s="611"/>
      <c r="F291" s="178" t="s">
        <v>124</v>
      </c>
      <c r="G291" s="177">
        <f t="shared" si="82"/>
        <v>0</v>
      </c>
      <c r="H291" s="177" t="s">
        <v>182</v>
      </c>
      <c r="I291" s="177" t="s">
        <v>182</v>
      </c>
      <c r="J291" s="220" t="s">
        <v>182</v>
      </c>
      <c r="K291" s="175">
        <f>K293/19*81</f>
        <v>0</v>
      </c>
      <c r="L291" s="175">
        <v>0</v>
      </c>
      <c r="M291" s="175">
        <v>0</v>
      </c>
      <c r="N291" s="175">
        <v>0</v>
      </c>
      <c r="O291" s="175">
        <v>0</v>
      </c>
      <c r="P291" s="175">
        <v>0</v>
      </c>
    </row>
    <row r="292" spans="1:16" ht="22.5">
      <c r="A292" s="609"/>
      <c r="B292" s="572"/>
      <c r="C292" s="572"/>
      <c r="D292" s="609"/>
      <c r="E292" s="611"/>
      <c r="F292" s="178" t="s">
        <v>148</v>
      </c>
      <c r="G292" s="177">
        <f t="shared" si="82"/>
        <v>0</v>
      </c>
      <c r="H292" s="177" t="s">
        <v>182</v>
      </c>
      <c r="I292" s="177" t="s">
        <v>182</v>
      </c>
      <c r="J292" s="220" t="s">
        <v>182</v>
      </c>
      <c r="K292" s="175">
        <f t="shared" ref="K292:P292" si="88">K293+K294</f>
        <v>0</v>
      </c>
      <c r="L292" s="175">
        <f t="shared" si="88"/>
        <v>0</v>
      </c>
      <c r="M292" s="175">
        <f t="shared" si="88"/>
        <v>0</v>
      </c>
      <c r="N292" s="175">
        <f t="shared" si="88"/>
        <v>0</v>
      </c>
      <c r="O292" s="175">
        <f t="shared" si="88"/>
        <v>0</v>
      </c>
      <c r="P292" s="175">
        <f t="shared" si="88"/>
        <v>0</v>
      </c>
    </row>
    <row r="293" spans="1:16" ht="22.5">
      <c r="A293" s="609"/>
      <c r="B293" s="572"/>
      <c r="C293" s="572"/>
      <c r="D293" s="609"/>
      <c r="E293" s="611"/>
      <c r="F293" s="178" t="s">
        <v>123</v>
      </c>
      <c r="G293" s="177">
        <f t="shared" si="82"/>
        <v>0</v>
      </c>
      <c r="H293" s="177" t="s">
        <v>182</v>
      </c>
      <c r="I293" s="177" t="s">
        <v>182</v>
      </c>
      <c r="J293" s="220" t="s">
        <v>182</v>
      </c>
      <c r="K293" s="175">
        <v>0</v>
      </c>
      <c r="L293" s="175">
        <v>0</v>
      </c>
      <c r="M293" s="175">
        <v>0</v>
      </c>
      <c r="N293" s="175">
        <v>0</v>
      </c>
      <c r="O293" s="175">
        <v>0</v>
      </c>
      <c r="P293" s="175">
        <v>0</v>
      </c>
    </row>
    <row r="294" spans="1:16" ht="22.5">
      <c r="A294" s="609"/>
      <c r="B294" s="572"/>
      <c r="C294" s="572"/>
      <c r="D294" s="609"/>
      <c r="E294" s="611"/>
      <c r="F294" s="178" t="s">
        <v>147</v>
      </c>
      <c r="G294" s="177">
        <f>K294+L294+M294</f>
        <v>0</v>
      </c>
      <c r="H294" s="177" t="s">
        <v>182</v>
      </c>
      <c r="I294" s="177" t="s">
        <v>182</v>
      </c>
      <c r="J294" s="220" t="s">
        <v>182</v>
      </c>
      <c r="K294" s="175"/>
      <c r="L294" s="175">
        <v>0</v>
      </c>
      <c r="M294" s="175">
        <v>0</v>
      </c>
      <c r="N294" s="175">
        <v>0</v>
      </c>
      <c r="O294" s="175">
        <v>0</v>
      </c>
      <c r="P294" s="175">
        <v>0</v>
      </c>
    </row>
    <row r="295" spans="1:16" ht="22.5">
      <c r="A295" s="609"/>
      <c r="B295" s="572"/>
      <c r="C295" s="572"/>
      <c r="D295" s="609"/>
      <c r="E295" s="611"/>
      <c r="F295" s="178" t="s">
        <v>264</v>
      </c>
      <c r="G295" s="177">
        <f t="shared" ref="G295:G303" si="89">K295+L295+M295</f>
        <v>0</v>
      </c>
      <c r="H295" s="177" t="s">
        <v>182</v>
      </c>
      <c r="I295" s="177" t="s">
        <v>182</v>
      </c>
      <c r="J295" s="220" t="s">
        <v>182</v>
      </c>
      <c r="K295" s="175">
        <v>0</v>
      </c>
      <c r="L295" s="175">
        <v>0</v>
      </c>
      <c r="M295" s="175">
        <v>0</v>
      </c>
      <c r="N295" s="175">
        <v>0</v>
      </c>
      <c r="O295" s="175">
        <v>0</v>
      </c>
      <c r="P295" s="175">
        <v>0</v>
      </c>
    </row>
    <row r="296" spans="1:16">
      <c r="A296" s="609"/>
      <c r="B296" s="572"/>
      <c r="C296" s="572"/>
      <c r="D296" s="609"/>
      <c r="E296" s="611"/>
      <c r="F296" s="178" t="s">
        <v>265</v>
      </c>
      <c r="G296" s="177">
        <f t="shared" si="89"/>
        <v>0</v>
      </c>
      <c r="H296" s="177" t="s">
        <v>182</v>
      </c>
      <c r="I296" s="177" t="s">
        <v>182</v>
      </c>
      <c r="J296" s="220" t="s">
        <v>182</v>
      </c>
      <c r="K296" s="175">
        <v>0</v>
      </c>
      <c r="L296" s="175">
        <v>0</v>
      </c>
      <c r="M296" s="175">
        <v>0</v>
      </c>
      <c r="N296" s="175">
        <v>0</v>
      </c>
      <c r="O296" s="175">
        <v>0</v>
      </c>
      <c r="P296" s="175">
        <v>0</v>
      </c>
    </row>
    <row r="297" spans="1:16" ht="22.5">
      <c r="A297" s="613"/>
      <c r="B297" s="580"/>
      <c r="C297" s="580"/>
      <c r="D297" s="613"/>
      <c r="E297" s="612"/>
      <c r="F297" s="178" t="s">
        <v>260</v>
      </c>
      <c r="G297" s="177">
        <f t="shared" si="89"/>
        <v>0</v>
      </c>
      <c r="H297" s="177" t="s">
        <v>182</v>
      </c>
      <c r="I297" s="177" t="s">
        <v>182</v>
      </c>
      <c r="J297" s="220" t="s">
        <v>182</v>
      </c>
      <c r="K297" s="175">
        <f t="shared" ref="K297:P297" si="90">K292</f>
        <v>0</v>
      </c>
      <c r="L297" s="175">
        <f t="shared" si="90"/>
        <v>0</v>
      </c>
      <c r="M297" s="175">
        <f t="shared" si="90"/>
        <v>0</v>
      </c>
      <c r="N297" s="175">
        <f t="shared" si="90"/>
        <v>0</v>
      </c>
      <c r="O297" s="175">
        <f t="shared" si="90"/>
        <v>0</v>
      </c>
      <c r="P297" s="175">
        <f t="shared" si="90"/>
        <v>0</v>
      </c>
    </row>
    <row r="298" spans="1:16">
      <c r="A298" s="608" t="s">
        <v>83</v>
      </c>
      <c r="B298" s="571" t="s">
        <v>144</v>
      </c>
      <c r="C298" s="571" t="s">
        <v>29</v>
      </c>
      <c r="D298" s="608" t="s">
        <v>18</v>
      </c>
      <c r="E298" s="610" t="s">
        <v>276</v>
      </c>
      <c r="F298" s="178" t="s">
        <v>50</v>
      </c>
      <c r="G298" s="177">
        <f t="shared" si="89"/>
        <v>0</v>
      </c>
      <c r="H298" s="177" t="s">
        <v>182</v>
      </c>
      <c r="I298" s="177" t="s">
        <v>182</v>
      </c>
      <c r="J298" s="220" t="s">
        <v>182</v>
      </c>
      <c r="K298" s="175">
        <f t="shared" ref="K298:P298" si="91">K299+K300+K303+K304</f>
        <v>0</v>
      </c>
      <c r="L298" s="175">
        <f t="shared" si="91"/>
        <v>0</v>
      </c>
      <c r="M298" s="175">
        <f t="shared" si="91"/>
        <v>0</v>
      </c>
      <c r="N298" s="175">
        <f t="shared" si="91"/>
        <v>0</v>
      </c>
      <c r="O298" s="175">
        <f t="shared" si="91"/>
        <v>0</v>
      </c>
      <c r="P298" s="175">
        <f t="shared" si="91"/>
        <v>0</v>
      </c>
    </row>
    <row r="299" spans="1:16">
      <c r="A299" s="609"/>
      <c r="B299" s="572"/>
      <c r="C299" s="572"/>
      <c r="D299" s="609"/>
      <c r="E299" s="611"/>
      <c r="F299" s="178" t="s">
        <v>124</v>
      </c>
      <c r="G299" s="177">
        <f t="shared" si="89"/>
        <v>0</v>
      </c>
      <c r="H299" s="177" t="s">
        <v>182</v>
      </c>
      <c r="I299" s="177" t="s">
        <v>182</v>
      </c>
      <c r="J299" s="220" t="s">
        <v>182</v>
      </c>
      <c r="K299" s="175">
        <v>0</v>
      </c>
      <c r="L299" s="175">
        <v>0</v>
      </c>
      <c r="M299" s="175">
        <v>0</v>
      </c>
      <c r="N299" s="175">
        <v>0</v>
      </c>
      <c r="O299" s="175">
        <v>0</v>
      </c>
      <c r="P299" s="175">
        <v>0</v>
      </c>
    </row>
    <row r="300" spans="1:16" ht="22.5">
      <c r="A300" s="609"/>
      <c r="B300" s="572"/>
      <c r="C300" s="572"/>
      <c r="D300" s="609"/>
      <c r="E300" s="611"/>
      <c r="F300" s="178" t="s">
        <v>148</v>
      </c>
      <c r="G300" s="177">
        <f t="shared" si="89"/>
        <v>0</v>
      </c>
      <c r="H300" s="177" t="s">
        <v>182</v>
      </c>
      <c r="I300" s="177" t="s">
        <v>182</v>
      </c>
      <c r="J300" s="220" t="s">
        <v>182</v>
      </c>
      <c r="K300" s="175">
        <f t="shared" ref="K300:P300" si="92">K301+K302</f>
        <v>0</v>
      </c>
      <c r="L300" s="175">
        <f t="shared" si="92"/>
        <v>0</v>
      </c>
      <c r="M300" s="175">
        <f t="shared" si="92"/>
        <v>0</v>
      </c>
      <c r="N300" s="175">
        <f t="shared" si="92"/>
        <v>0</v>
      </c>
      <c r="O300" s="175">
        <f t="shared" si="92"/>
        <v>0</v>
      </c>
      <c r="P300" s="175">
        <f t="shared" si="92"/>
        <v>0</v>
      </c>
    </row>
    <row r="301" spans="1:16" ht="22.5">
      <c r="A301" s="609"/>
      <c r="B301" s="572"/>
      <c r="C301" s="572"/>
      <c r="D301" s="609"/>
      <c r="E301" s="611"/>
      <c r="F301" s="178" t="s">
        <v>123</v>
      </c>
      <c r="G301" s="177">
        <f t="shared" si="89"/>
        <v>0</v>
      </c>
      <c r="H301" s="177" t="s">
        <v>182</v>
      </c>
      <c r="I301" s="177" t="s">
        <v>182</v>
      </c>
      <c r="J301" s="220" t="s">
        <v>182</v>
      </c>
      <c r="K301" s="175">
        <v>0</v>
      </c>
      <c r="L301" s="175">
        <v>0</v>
      </c>
      <c r="M301" s="175">
        <v>0</v>
      </c>
      <c r="N301" s="175">
        <v>0</v>
      </c>
      <c r="O301" s="175">
        <v>0</v>
      </c>
      <c r="P301" s="175">
        <v>0</v>
      </c>
    </row>
    <row r="302" spans="1:16" ht="22.5">
      <c r="A302" s="609"/>
      <c r="B302" s="572"/>
      <c r="C302" s="572"/>
      <c r="D302" s="609"/>
      <c r="E302" s="611"/>
      <c r="F302" s="178" t="s">
        <v>147</v>
      </c>
      <c r="G302" s="177">
        <f t="shared" si="89"/>
        <v>0</v>
      </c>
      <c r="H302" s="177" t="s">
        <v>182</v>
      </c>
      <c r="I302" s="177" t="s">
        <v>182</v>
      </c>
      <c r="J302" s="220" t="s">
        <v>182</v>
      </c>
      <c r="K302" s="175">
        <v>0</v>
      </c>
      <c r="L302" s="175">
        <v>0</v>
      </c>
      <c r="M302" s="175">
        <v>0</v>
      </c>
      <c r="N302" s="175">
        <v>0</v>
      </c>
      <c r="O302" s="175">
        <v>0</v>
      </c>
      <c r="P302" s="175">
        <v>0</v>
      </c>
    </row>
    <row r="303" spans="1:16" ht="22.5">
      <c r="A303" s="609"/>
      <c r="B303" s="572"/>
      <c r="C303" s="572"/>
      <c r="D303" s="609"/>
      <c r="E303" s="611"/>
      <c r="F303" s="178" t="s">
        <v>264</v>
      </c>
      <c r="G303" s="177">
        <f t="shared" si="89"/>
        <v>0</v>
      </c>
      <c r="H303" s="177" t="s">
        <v>182</v>
      </c>
      <c r="I303" s="177" t="s">
        <v>182</v>
      </c>
      <c r="J303" s="220" t="s">
        <v>182</v>
      </c>
      <c r="K303" s="175">
        <v>0</v>
      </c>
      <c r="L303" s="175">
        <v>0</v>
      </c>
      <c r="M303" s="175">
        <v>0</v>
      </c>
      <c r="N303" s="175">
        <v>0</v>
      </c>
      <c r="O303" s="175">
        <v>0</v>
      </c>
      <c r="P303" s="175">
        <v>0</v>
      </c>
    </row>
    <row r="304" spans="1:16">
      <c r="A304" s="609"/>
      <c r="B304" s="572"/>
      <c r="C304" s="572"/>
      <c r="D304" s="609"/>
      <c r="E304" s="611"/>
      <c r="F304" s="178" t="s">
        <v>265</v>
      </c>
      <c r="G304" s="177">
        <f>K304+L304+M304</f>
        <v>0</v>
      </c>
      <c r="H304" s="177" t="s">
        <v>182</v>
      </c>
      <c r="I304" s="177" t="s">
        <v>182</v>
      </c>
      <c r="J304" s="220" t="s">
        <v>182</v>
      </c>
      <c r="K304" s="175">
        <v>0</v>
      </c>
      <c r="L304" s="175">
        <v>0</v>
      </c>
      <c r="M304" s="175">
        <v>0</v>
      </c>
      <c r="N304" s="175">
        <v>0</v>
      </c>
      <c r="O304" s="175">
        <v>0</v>
      </c>
      <c r="P304" s="175">
        <v>0</v>
      </c>
    </row>
    <row r="305" spans="1:16" ht="22.5">
      <c r="A305" s="613"/>
      <c r="B305" s="580"/>
      <c r="C305" s="580"/>
      <c r="D305" s="613"/>
      <c r="E305" s="612"/>
      <c r="F305" s="178" t="s">
        <v>260</v>
      </c>
      <c r="G305" s="177">
        <f t="shared" ref="G305:G316" si="93">K305+L305+M305</f>
        <v>0</v>
      </c>
      <c r="H305" s="177" t="s">
        <v>182</v>
      </c>
      <c r="I305" s="177" t="s">
        <v>182</v>
      </c>
      <c r="J305" s="220" t="s">
        <v>182</v>
      </c>
      <c r="K305" s="175">
        <f t="shared" ref="K305:P305" si="94">K300</f>
        <v>0</v>
      </c>
      <c r="L305" s="175">
        <f t="shared" si="94"/>
        <v>0</v>
      </c>
      <c r="M305" s="175">
        <f t="shared" si="94"/>
        <v>0</v>
      </c>
      <c r="N305" s="175">
        <f t="shared" si="94"/>
        <v>0</v>
      </c>
      <c r="O305" s="175">
        <f t="shared" si="94"/>
        <v>0</v>
      </c>
      <c r="P305" s="175">
        <f t="shared" si="94"/>
        <v>0</v>
      </c>
    </row>
    <row r="306" spans="1:16">
      <c r="A306" s="608" t="s">
        <v>83</v>
      </c>
      <c r="B306" s="571" t="s">
        <v>144</v>
      </c>
      <c r="C306" s="571" t="s">
        <v>29</v>
      </c>
      <c r="D306" s="608" t="s">
        <v>29</v>
      </c>
      <c r="E306" s="610" t="s">
        <v>277</v>
      </c>
      <c r="F306" s="178" t="s">
        <v>50</v>
      </c>
      <c r="G306" s="177">
        <f t="shared" si="93"/>
        <v>0</v>
      </c>
      <c r="H306" s="177" t="s">
        <v>182</v>
      </c>
      <c r="I306" s="177" t="s">
        <v>182</v>
      </c>
      <c r="J306" s="220" t="s">
        <v>182</v>
      </c>
      <c r="K306" s="175">
        <f t="shared" ref="K306:P306" si="95">K307+K308+K311+K312</f>
        <v>0</v>
      </c>
      <c r="L306" s="175">
        <f t="shared" si="95"/>
        <v>0</v>
      </c>
      <c r="M306" s="175">
        <f t="shared" si="95"/>
        <v>0</v>
      </c>
      <c r="N306" s="175">
        <f t="shared" si="95"/>
        <v>0</v>
      </c>
      <c r="O306" s="175">
        <f t="shared" si="95"/>
        <v>0</v>
      </c>
      <c r="P306" s="175">
        <f t="shared" si="95"/>
        <v>0</v>
      </c>
    </row>
    <row r="307" spans="1:16">
      <c r="A307" s="609"/>
      <c r="B307" s="572"/>
      <c r="C307" s="572"/>
      <c r="D307" s="609"/>
      <c r="E307" s="611"/>
      <c r="F307" s="178" t="s">
        <v>124</v>
      </c>
      <c r="G307" s="177">
        <f t="shared" si="93"/>
        <v>0</v>
      </c>
      <c r="H307" s="177" t="s">
        <v>182</v>
      </c>
      <c r="I307" s="177" t="s">
        <v>182</v>
      </c>
      <c r="J307" s="220" t="s">
        <v>182</v>
      </c>
      <c r="K307" s="175">
        <v>0</v>
      </c>
      <c r="L307" s="175">
        <v>0</v>
      </c>
      <c r="M307" s="175">
        <v>0</v>
      </c>
      <c r="N307" s="175">
        <v>0</v>
      </c>
      <c r="O307" s="175">
        <v>0</v>
      </c>
      <c r="P307" s="175">
        <v>0</v>
      </c>
    </row>
    <row r="308" spans="1:16" ht="22.5">
      <c r="A308" s="609"/>
      <c r="B308" s="572"/>
      <c r="C308" s="572"/>
      <c r="D308" s="609"/>
      <c r="E308" s="611"/>
      <c r="F308" s="178" t="s">
        <v>148</v>
      </c>
      <c r="G308" s="177">
        <f t="shared" si="93"/>
        <v>0</v>
      </c>
      <c r="H308" s="177" t="s">
        <v>182</v>
      </c>
      <c r="I308" s="177" t="s">
        <v>182</v>
      </c>
      <c r="J308" s="220" t="s">
        <v>182</v>
      </c>
      <c r="K308" s="175">
        <f t="shared" ref="K308:P308" si="96">K309+K310</f>
        <v>0</v>
      </c>
      <c r="L308" s="175">
        <f t="shared" si="96"/>
        <v>0</v>
      </c>
      <c r="M308" s="175">
        <f t="shared" si="96"/>
        <v>0</v>
      </c>
      <c r="N308" s="175">
        <f t="shared" si="96"/>
        <v>0</v>
      </c>
      <c r="O308" s="175">
        <f t="shared" si="96"/>
        <v>0</v>
      </c>
      <c r="P308" s="175">
        <f t="shared" si="96"/>
        <v>0</v>
      </c>
    </row>
    <row r="309" spans="1:16" ht="22.5">
      <c r="A309" s="609"/>
      <c r="B309" s="572"/>
      <c r="C309" s="572"/>
      <c r="D309" s="609"/>
      <c r="E309" s="611"/>
      <c r="F309" s="178" t="s">
        <v>123</v>
      </c>
      <c r="G309" s="177">
        <f t="shared" si="93"/>
        <v>0</v>
      </c>
      <c r="H309" s="177" t="s">
        <v>182</v>
      </c>
      <c r="I309" s="177" t="s">
        <v>182</v>
      </c>
      <c r="J309" s="220" t="s">
        <v>182</v>
      </c>
      <c r="K309" s="175">
        <v>0</v>
      </c>
      <c r="L309" s="175">
        <v>0</v>
      </c>
      <c r="M309" s="175">
        <v>0</v>
      </c>
      <c r="N309" s="175">
        <v>0</v>
      </c>
      <c r="O309" s="175">
        <v>0</v>
      </c>
      <c r="P309" s="175">
        <v>0</v>
      </c>
    </row>
    <row r="310" spans="1:16" ht="22.5">
      <c r="A310" s="609"/>
      <c r="B310" s="572"/>
      <c r="C310" s="572"/>
      <c r="D310" s="609"/>
      <c r="E310" s="611"/>
      <c r="F310" s="178" t="s">
        <v>147</v>
      </c>
      <c r="G310" s="177">
        <f t="shared" si="93"/>
        <v>0</v>
      </c>
      <c r="H310" s="177" t="s">
        <v>182</v>
      </c>
      <c r="I310" s="177" t="s">
        <v>182</v>
      </c>
      <c r="J310" s="220" t="s">
        <v>182</v>
      </c>
      <c r="K310" s="175">
        <v>0</v>
      </c>
      <c r="L310" s="175">
        <v>0</v>
      </c>
      <c r="M310" s="175">
        <v>0</v>
      </c>
      <c r="N310" s="175">
        <v>0</v>
      </c>
      <c r="O310" s="175">
        <v>0</v>
      </c>
      <c r="P310" s="175">
        <v>0</v>
      </c>
    </row>
    <row r="311" spans="1:16" ht="22.5">
      <c r="A311" s="609"/>
      <c r="B311" s="572"/>
      <c r="C311" s="572"/>
      <c r="D311" s="609"/>
      <c r="E311" s="611"/>
      <c r="F311" s="178" t="s">
        <v>264</v>
      </c>
      <c r="G311" s="177">
        <f t="shared" si="93"/>
        <v>0</v>
      </c>
      <c r="H311" s="177" t="s">
        <v>182</v>
      </c>
      <c r="I311" s="177" t="s">
        <v>182</v>
      </c>
      <c r="J311" s="220" t="s">
        <v>182</v>
      </c>
      <c r="K311" s="175">
        <v>0</v>
      </c>
      <c r="L311" s="175">
        <v>0</v>
      </c>
      <c r="M311" s="175">
        <v>0</v>
      </c>
      <c r="N311" s="175">
        <v>0</v>
      </c>
      <c r="O311" s="175">
        <v>0</v>
      </c>
      <c r="P311" s="175">
        <v>0</v>
      </c>
    </row>
    <row r="312" spans="1:16">
      <c r="A312" s="609"/>
      <c r="B312" s="572"/>
      <c r="C312" s="572"/>
      <c r="D312" s="609"/>
      <c r="E312" s="611"/>
      <c r="F312" s="178" t="s">
        <v>265</v>
      </c>
      <c r="G312" s="177">
        <f t="shared" si="93"/>
        <v>0</v>
      </c>
      <c r="H312" s="177" t="s">
        <v>182</v>
      </c>
      <c r="I312" s="177" t="s">
        <v>182</v>
      </c>
      <c r="J312" s="220" t="s">
        <v>182</v>
      </c>
      <c r="K312" s="175">
        <v>0</v>
      </c>
      <c r="L312" s="175">
        <v>0</v>
      </c>
      <c r="M312" s="175">
        <v>0</v>
      </c>
      <c r="N312" s="175">
        <v>0</v>
      </c>
      <c r="O312" s="175">
        <v>0</v>
      </c>
      <c r="P312" s="175">
        <v>0</v>
      </c>
    </row>
    <row r="313" spans="1:16" ht="22.5">
      <c r="A313" s="613"/>
      <c r="B313" s="580"/>
      <c r="C313" s="580"/>
      <c r="D313" s="613"/>
      <c r="E313" s="612"/>
      <c r="F313" s="178" t="s">
        <v>260</v>
      </c>
      <c r="G313" s="177">
        <f t="shared" si="93"/>
        <v>0</v>
      </c>
      <c r="H313" s="177" t="s">
        <v>182</v>
      </c>
      <c r="I313" s="177" t="s">
        <v>182</v>
      </c>
      <c r="J313" s="220" t="s">
        <v>182</v>
      </c>
      <c r="K313" s="175">
        <f t="shared" ref="K313:P313" si="97">K308</f>
        <v>0</v>
      </c>
      <c r="L313" s="175">
        <f t="shared" si="97"/>
        <v>0</v>
      </c>
      <c r="M313" s="175">
        <f t="shared" si="97"/>
        <v>0</v>
      </c>
      <c r="N313" s="175">
        <f t="shared" si="97"/>
        <v>0</v>
      </c>
      <c r="O313" s="175">
        <f t="shared" si="97"/>
        <v>0</v>
      </c>
      <c r="P313" s="175">
        <f t="shared" si="97"/>
        <v>0</v>
      </c>
    </row>
    <row r="314" spans="1:16">
      <c r="A314" s="608" t="s">
        <v>83</v>
      </c>
      <c r="B314" s="571" t="s">
        <v>144</v>
      </c>
      <c r="C314" s="571" t="s">
        <v>29</v>
      </c>
      <c r="D314" s="608" t="s">
        <v>28</v>
      </c>
      <c r="E314" s="610" t="s">
        <v>278</v>
      </c>
      <c r="F314" s="178" t="s">
        <v>50</v>
      </c>
      <c r="G314" s="177">
        <f t="shared" si="93"/>
        <v>0</v>
      </c>
      <c r="H314" s="177" t="s">
        <v>182</v>
      </c>
      <c r="I314" s="177" t="s">
        <v>182</v>
      </c>
      <c r="J314" s="220" t="s">
        <v>182</v>
      </c>
      <c r="K314" s="175">
        <f t="shared" ref="K314:P314" si="98">K315+K316+K319+K320</f>
        <v>0</v>
      </c>
      <c r="L314" s="175">
        <f t="shared" si="98"/>
        <v>0</v>
      </c>
      <c r="M314" s="175">
        <f t="shared" si="98"/>
        <v>0</v>
      </c>
      <c r="N314" s="175">
        <f t="shared" si="98"/>
        <v>0</v>
      </c>
      <c r="O314" s="175">
        <f t="shared" si="98"/>
        <v>0</v>
      </c>
      <c r="P314" s="175">
        <f t="shared" si="98"/>
        <v>0</v>
      </c>
    </row>
    <row r="315" spans="1:16">
      <c r="A315" s="609"/>
      <c r="B315" s="572"/>
      <c r="C315" s="572"/>
      <c r="D315" s="609"/>
      <c r="E315" s="611"/>
      <c r="F315" s="178" t="s">
        <v>124</v>
      </c>
      <c r="G315" s="177">
        <f t="shared" si="93"/>
        <v>0</v>
      </c>
      <c r="H315" s="177" t="s">
        <v>182</v>
      </c>
      <c r="I315" s="177" t="s">
        <v>182</v>
      </c>
      <c r="J315" s="220" t="s">
        <v>182</v>
      </c>
      <c r="K315" s="175">
        <f>K317/19*81</f>
        <v>0</v>
      </c>
      <c r="L315" s="175">
        <v>0</v>
      </c>
      <c r="M315" s="175">
        <v>0</v>
      </c>
      <c r="N315" s="175">
        <v>0</v>
      </c>
      <c r="O315" s="175">
        <v>0</v>
      </c>
      <c r="P315" s="175">
        <v>0</v>
      </c>
    </row>
    <row r="316" spans="1:16" ht="22.5">
      <c r="A316" s="609"/>
      <c r="B316" s="572"/>
      <c r="C316" s="572"/>
      <c r="D316" s="609"/>
      <c r="E316" s="611"/>
      <c r="F316" s="178" t="s">
        <v>148</v>
      </c>
      <c r="G316" s="177">
        <f t="shared" si="93"/>
        <v>0</v>
      </c>
      <c r="H316" s="177" t="s">
        <v>182</v>
      </c>
      <c r="I316" s="177" t="s">
        <v>182</v>
      </c>
      <c r="J316" s="220" t="s">
        <v>182</v>
      </c>
      <c r="K316" s="175">
        <f t="shared" ref="K316:P316" si="99">K317+K318</f>
        <v>0</v>
      </c>
      <c r="L316" s="175">
        <f t="shared" si="99"/>
        <v>0</v>
      </c>
      <c r="M316" s="175">
        <f t="shared" si="99"/>
        <v>0</v>
      </c>
      <c r="N316" s="175">
        <f t="shared" si="99"/>
        <v>0</v>
      </c>
      <c r="O316" s="175">
        <f t="shared" si="99"/>
        <v>0</v>
      </c>
      <c r="P316" s="175">
        <f t="shared" si="99"/>
        <v>0</v>
      </c>
    </row>
    <row r="317" spans="1:16" ht="22.5">
      <c r="A317" s="609"/>
      <c r="B317" s="572"/>
      <c r="C317" s="572"/>
      <c r="D317" s="609"/>
      <c r="E317" s="611"/>
      <c r="F317" s="178" t="s">
        <v>123</v>
      </c>
      <c r="G317" s="177">
        <f>K317+L317+M317</f>
        <v>0</v>
      </c>
      <c r="H317" s="177" t="s">
        <v>182</v>
      </c>
      <c r="I317" s="177" t="s">
        <v>182</v>
      </c>
      <c r="J317" s="220" t="s">
        <v>182</v>
      </c>
      <c r="K317" s="175">
        <v>0</v>
      </c>
      <c r="L317" s="175">
        <v>0</v>
      </c>
      <c r="M317" s="175">
        <v>0</v>
      </c>
      <c r="N317" s="175">
        <v>0</v>
      </c>
      <c r="O317" s="175">
        <v>0</v>
      </c>
      <c r="P317" s="175">
        <v>0</v>
      </c>
    </row>
    <row r="318" spans="1:16" ht="22.5">
      <c r="A318" s="609"/>
      <c r="B318" s="572"/>
      <c r="C318" s="572"/>
      <c r="D318" s="609"/>
      <c r="E318" s="611"/>
      <c r="F318" s="178" t="s">
        <v>147</v>
      </c>
      <c r="G318" s="177">
        <f t="shared" ref="G318:G326" si="100">K318+L318+M318</f>
        <v>0</v>
      </c>
      <c r="H318" s="177" t="s">
        <v>182</v>
      </c>
      <c r="I318" s="177" t="s">
        <v>182</v>
      </c>
      <c r="J318" s="220" t="s">
        <v>182</v>
      </c>
      <c r="K318" s="175">
        <v>0</v>
      </c>
      <c r="L318" s="175">
        <v>0</v>
      </c>
      <c r="M318" s="175">
        <v>0</v>
      </c>
      <c r="N318" s="175">
        <v>0</v>
      </c>
      <c r="O318" s="175">
        <v>0</v>
      </c>
      <c r="P318" s="175">
        <v>0</v>
      </c>
    </row>
    <row r="319" spans="1:16" ht="22.5">
      <c r="A319" s="609"/>
      <c r="B319" s="572"/>
      <c r="C319" s="572"/>
      <c r="D319" s="609"/>
      <c r="E319" s="611"/>
      <c r="F319" s="178" t="s">
        <v>264</v>
      </c>
      <c r="G319" s="177">
        <f t="shared" si="100"/>
        <v>0</v>
      </c>
      <c r="H319" s="177" t="s">
        <v>182</v>
      </c>
      <c r="I319" s="177" t="s">
        <v>182</v>
      </c>
      <c r="J319" s="220" t="s">
        <v>182</v>
      </c>
      <c r="K319" s="175">
        <v>0</v>
      </c>
      <c r="L319" s="175">
        <v>0</v>
      </c>
      <c r="M319" s="175">
        <v>0</v>
      </c>
      <c r="N319" s="175">
        <v>0</v>
      </c>
      <c r="O319" s="175">
        <v>0</v>
      </c>
      <c r="P319" s="175">
        <v>0</v>
      </c>
    </row>
    <row r="320" spans="1:16">
      <c r="A320" s="609"/>
      <c r="B320" s="572"/>
      <c r="C320" s="572"/>
      <c r="D320" s="609"/>
      <c r="E320" s="611"/>
      <c r="F320" s="178" t="s">
        <v>265</v>
      </c>
      <c r="G320" s="177">
        <f t="shared" si="100"/>
        <v>0</v>
      </c>
      <c r="H320" s="177" t="s">
        <v>182</v>
      </c>
      <c r="I320" s="177" t="s">
        <v>182</v>
      </c>
      <c r="J320" s="220" t="s">
        <v>182</v>
      </c>
      <c r="K320" s="175">
        <v>0</v>
      </c>
      <c r="L320" s="175">
        <v>0</v>
      </c>
      <c r="M320" s="175">
        <v>0</v>
      </c>
      <c r="N320" s="175">
        <v>0</v>
      </c>
      <c r="O320" s="175">
        <v>0</v>
      </c>
      <c r="P320" s="175">
        <v>0</v>
      </c>
    </row>
    <row r="321" spans="1:17" ht="22.5">
      <c r="A321" s="613"/>
      <c r="B321" s="580"/>
      <c r="C321" s="580"/>
      <c r="D321" s="613"/>
      <c r="E321" s="612"/>
      <c r="F321" s="178" t="s">
        <v>260</v>
      </c>
      <c r="G321" s="177">
        <f t="shared" si="100"/>
        <v>0</v>
      </c>
      <c r="H321" s="177" t="s">
        <v>182</v>
      </c>
      <c r="I321" s="177" t="s">
        <v>182</v>
      </c>
      <c r="J321" s="220" t="s">
        <v>182</v>
      </c>
      <c r="K321" s="175">
        <f t="shared" ref="K321:P321" si="101">K316</f>
        <v>0</v>
      </c>
      <c r="L321" s="175">
        <f t="shared" si="101"/>
        <v>0</v>
      </c>
      <c r="M321" s="175">
        <f t="shared" si="101"/>
        <v>0</v>
      </c>
      <c r="N321" s="175">
        <f t="shared" si="101"/>
        <v>0</v>
      </c>
      <c r="O321" s="175">
        <f t="shared" si="101"/>
        <v>0</v>
      </c>
      <c r="P321" s="175">
        <f t="shared" si="101"/>
        <v>0</v>
      </c>
    </row>
    <row r="322" spans="1:17" ht="38.25" customHeight="1">
      <c r="A322" s="8" t="s">
        <v>83</v>
      </c>
      <c r="B322" s="9" t="s">
        <v>144</v>
      </c>
      <c r="C322" s="9" t="s">
        <v>28</v>
      </c>
      <c r="D322" s="8"/>
      <c r="E322" s="620" t="s">
        <v>305</v>
      </c>
      <c r="F322" s="620"/>
      <c r="G322" s="177">
        <f t="shared" si="100"/>
        <v>42896.177105263152</v>
      </c>
      <c r="H322" s="177">
        <f>K322+L322+M322</f>
        <v>42896.177105263152</v>
      </c>
      <c r="I322" s="177" t="s">
        <v>182</v>
      </c>
      <c r="J322" s="220" t="s">
        <v>182</v>
      </c>
      <c r="K322" s="177">
        <f>K323+K331+K339+K347+K356+K364+K372+K380+K388+K398+K406+K414+K422</f>
        <v>14346.294999999998</v>
      </c>
      <c r="L322" s="177">
        <f>L323+L331+L339+L347+L356+L364+L388+L398+L422</f>
        <v>14346.3</v>
      </c>
      <c r="M322" s="177">
        <f>M323+M331+M339+M347+M356+M364+M372+M380+M388+M398+M406+M414+M422</f>
        <v>14203.582105263158</v>
      </c>
      <c r="N322" s="177">
        <f>N323+N331+N339+N347+N356+N364+N372+N380+N388+N398+N406+N414+N422</f>
        <v>14346.3</v>
      </c>
      <c r="O322" s="177">
        <f>O323+O331+O339+O347+O356+O364+O372+O380+O388+O398+O406+O414+O422</f>
        <v>0</v>
      </c>
      <c r="P322" s="177">
        <f>P323+P331+P339+P347+P356+P364+P372+P380+P388+P398+P406+P414+P422</f>
        <v>0</v>
      </c>
      <c r="Q322" s="441">
        <f>L322+M322+N322</f>
        <v>42896.182105263157</v>
      </c>
    </row>
    <row r="323" spans="1:17">
      <c r="A323" s="608" t="s">
        <v>83</v>
      </c>
      <c r="B323" s="571" t="s">
        <v>144</v>
      </c>
      <c r="C323" s="571" t="s">
        <v>28</v>
      </c>
      <c r="D323" s="608" t="s">
        <v>15</v>
      </c>
      <c r="E323" s="610" t="s">
        <v>272</v>
      </c>
      <c r="F323" s="178" t="s">
        <v>50</v>
      </c>
      <c r="G323" s="177">
        <f t="shared" si="100"/>
        <v>0</v>
      </c>
      <c r="H323" s="177" t="s">
        <v>182</v>
      </c>
      <c r="I323" s="177" t="s">
        <v>182</v>
      </c>
      <c r="J323" s="220" t="s">
        <v>182</v>
      </c>
      <c r="K323" s="175">
        <f t="shared" ref="K323:P323" si="102">K324+K325+K328+K329</f>
        <v>0</v>
      </c>
      <c r="L323" s="175">
        <v>0</v>
      </c>
      <c r="M323" s="175">
        <f t="shared" si="102"/>
        <v>0</v>
      </c>
      <c r="N323" s="175">
        <f t="shared" si="102"/>
        <v>0</v>
      </c>
      <c r="O323" s="175">
        <f t="shared" si="102"/>
        <v>0</v>
      </c>
      <c r="P323" s="175">
        <f t="shared" si="102"/>
        <v>0</v>
      </c>
    </row>
    <row r="324" spans="1:17">
      <c r="A324" s="609"/>
      <c r="B324" s="572"/>
      <c r="C324" s="572"/>
      <c r="D324" s="609"/>
      <c r="E324" s="611"/>
      <c r="F324" s="178" t="s">
        <v>124</v>
      </c>
      <c r="G324" s="177">
        <f t="shared" si="100"/>
        <v>0</v>
      </c>
      <c r="H324" s="177" t="s">
        <v>182</v>
      </c>
      <c r="I324" s="177" t="s">
        <v>182</v>
      </c>
      <c r="J324" s="220" t="s">
        <v>182</v>
      </c>
      <c r="K324" s="175">
        <f>K326/19*81</f>
        <v>0</v>
      </c>
      <c r="L324" s="175">
        <v>0</v>
      </c>
      <c r="M324" s="175">
        <v>0</v>
      </c>
      <c r="N324" s="175">
        <v>0</v>
      </c>
      <c r="O324" s="175">
        <v>0</v>
      </c>
      <c r="P324" s="175">
        <v>0</v>
      </c>
    </row>
    <row r="325" spans="1:17" ht="22.5">
      <c r="A325" s="609"/>
      <c r="B325" s="572"/>
      <c r="C325" s="572"/>
      <c r="D325" s="609"/>
      <c r="E325" s="611"/>
      <c r="F325" s="178" t="s">
        <v>148</v>
      </c>
      <c r="G325" s="177">
        <f t="shared" si="100"/>
        <v>0</v>
      </c>
      <c r="H325" s="177" t="s">
        <v>182</v>
      </c>
      <c r="I325" s="177" t="s">
        <v>182</v>
      </c>
      <c r="J325" s="220" t="s">
        <v>182</v>
      </c>
      <c r="K325" s="175">
        <f t="shared" ref="K325:P325" si="103">K326+K327</f>
        <v>0</v>
      </c>
      <c r="L325" s="175">
        <v>0</v>
      </c>
      <c r="M325" s="175">
        <f t="shared" si="103"/>
        <v>0</v>
      </c>
      <c r="N325" s="175">
        <f t="shared" si="103"/>
        <v>0</v>
      </c>
      <c r="O325" s="175">
        <f t="shared" si="103"/>
        <v>0</v>
      </c>
      <c r="P325" s="175">
        <f t="shared" si="103"/>
        <v>0</v>
      </c>
    </row>
    <row r="326" spans="1:17" ht="22.5">
      <c r="A326" s="609"/>
      <c r="B326" s="572"/>
      <c r="C326" s="572"/>
      <c r="D326" s="609"/>
      <c r="E326" s="611"/>
      <c r="F326" s="178" t="s">
        <v>123</v>
      </c>
      <c r="G326" s="177">
        <f t="shared" si="100"/>
        <v>0</v>
      </c>
      <c r="H326" s="177" t="s">
        <v>182</v>
      </c>
      <c r="I326" s="177" t="s">
        <v>182</v>
      </c>
      <c r="J326" s="220" t="s">
        <v>182</v>
      </c>
      <c r="K326" s="175">
        <v>0</v>
      </c>
      <c r="L326" s="175">
        <v>0</v>
      </c>
      <c r="M326" s="175">
        <v>0</v>
      </c>
      <c r="N326" s="175">
        <v>0</v>
      </c>
      <c r="O326" s="175">
        <v>0</v>
      </c>
      <c r="P326" s="175">
        <v>0</v>
      </c>
    </row>
    <row r="327" spans="1:17" ht="22.5">
      <c r="A327" s="609"/>
      <c r="B327" s="572"/>
      <c r="C327" s="572"/>
      <c r="D327" s="609"/>
      <c r="E327" s="611"/>
      <c r="F327" s="178" t="s">
        <v>147</v>
      </c>
      <c r="G327" s="177">
        <f>K327+L327+M327</f>
        <v>0</v>
      </c>
      <c r="H327" s="177" t="s">
        <v>182</v>
      </c>
      <c r="I327" s="177" t="s">
        <v>182</v>
      </c>
      <c r="J327" s="220" t="s">
        <v>182</v>
      </c>
      <c r="K327" s="175">
        <v>0</v>
      </c>
      <c r="L327" s="175">
        <v>0</v>
      </c>
      <c r="M327" s="175">
        <v>0</v>
      </c>
      <c r="N327" s="175">
        <v>0</v>
      </c>
      <c r="O327" s="175">
        <v>0</v>
      </c>
      <c r="P327" s="175">
        <v>0</v>
      </c>
    </row>
    <row r="328" spans="1:17" ht="22.5">
      <c r="A328" s="609"/>
      <c r="B328" s="572"/>
      <c r="C328" s="572"/>
      <c r="D328" s="609"/>
      <c r="E328" s="611"/>
      <c r="F328" s="178" t="s">
        <v>264</v>
      </c>
      <c r="G328" s="177">
        <f t="shared" ref="G328:G338" si="104">K328+L328+M328</f>
        <v>0</v>
      </c>
      <c r="H328" s="177" t="s">
        <v>182</v>
      </c>
      <c r="I328" s="177" t="s">
        <v>182</v>
      </c>
      <c r="J328" s="220" t="s">
        <v>182</v>
      </c>
      <c r="K328" s="175">
        <v>0</v>
      </c>
      <c r="L328" s="175">
        <v>0</v>
      </c>
      <c r="M328" s="175">
        <v>0</v>
      </c>
      <c r="N328" s="175">
        <v>0</v>
      </c>
      <c r="O328" s="175">
        <v>0</v>
      </c>
      <c r="P328" s="175">
        <v>0</v>
      </c>
    </row>
    <row r="329" spans="1:17">
      <c r="A329" s="609"/>
      <c r="B329" s="572"/>
      <c r="C329" s="572"/>
      <c r="D329" s="609"/>
      <c r="E329" s="611"/>
      <c r="F329" s="178" t="s">
        <v>265</v>
      </c>
      <c r="G329" s="177">
        <f t="shared" si="104"/>
        <v>0</v>
      </c>
      <c r="H329" s="177" t="s">
        <v>182</v>
      </c>
      <c r="I329" s="177" t="s">
        <v>182</v>
      </c>
      <c r="J329" s="220" t="s">
        <v>182</v>
      </c>
      <c r="K329" s="175">
        <v>0</v>
      </c>
      <c r="L329" s="175">
        <v>0</v>
      </c>
      <c r="M329" s="175">
        <v>0</v>
      </c>
      <c r="N329" s="175">
        <v>0</v>
      </c>
      <c r="O329" s="175">
        <v>0</v>
      </c>
      <c r="P329" s="175">
        <v>0</v>
      </c>
    </row>
    <row r="330" spans="1:17" ht="22.5">
      <c r="A330" s="613"/>
      <c r="B330" s="580"/>
      <c r="C330" s="580"/>
      <c r="D330" s="613"/>
      <c r="E330" s="612"/>
      <c r="F330" s="178" t="s">
        <v>260</v>
      </c>
      <c r="G330" s="177">
        <f t="shared" si="104"/>
        <v>0</v>
      </c>
      <c r="H330" s="177" t="s">
        <v>182</v>
      </c>
      <c r="I330" s="177" t="s">
        <v>182</v>
      </c>
      <c r="J330" s="220" t="s">
        <v>182</v>
      </c>
      <c r="K330" s="175">
        <f t="shared" ref="K330:P330" si="105">K325</f>
        <v>0</v>
      </c>
      <c r="L330" s="175">
        <f t="shared" si="105"/>
        <v>0</v>
      </c>
      <c r="M330" s="175">
        <f t="shared" si="105"/>
        <v>0</v>
      </c>
      <c r="N330" s="175">
        <f t="shared" si="105"/>
        <v>0</v>
      </c>
      <c r="O330" s="175">
        <f t="shared" si="105"/>
        <v>0</v>
      </c>
      <c r="P330" s="175">
        <f t="shared" si="105"/>
        <v>0</v>
      </c>
    </row>
    <row r="331" spans="1:17">
      <c r="A331" s="608" t="s">
        <v>83</v>
      </c>
      <c r="B331" s="571" t="s">
        <v>144</v>
      </c>
      <c r="C331" s="571" t="s">
        <v>28</v>
      </c>
      <c r="D331" s="608" t="s">
        <v>16</v>
      </c>
      <c r="E331" s="610" t="s">
        <v>271</v>
      </c>
      <c r="F331" s="178" t="s">
        <v>50</v>
      </c>
      <c r="G331" s="177">
        <f t="shared" si="104"/>
        <v>174</v>
      </c>
      <c r="H331" s="177" t="s">
        <v>182</v>
      </c>
      <c r="I331" s="177" t="s">
        <v>182</v>
      </c>
      <c r="J331" s="220" t="s">
        <v>182</v>
      </c>
      <c r="K331" s="175">
        <f t="shared" ref="K331:P331" si="106">K332+K333+K336+K337</f>
        <v>0</v>
      </c>
      <c r="L331" s="175">
        <f t="shared" si="106"/>
        <v>174</v>
      </c>
      <c r="M331" s="175">
        <f t="shared" si="106"/>
        <v>0</v>
      </c>
      <c r="N331" s="175">
        <f t="shared" si="106"/>
        <v>174</v>
      </c>
      <c r="O331" s="175">
        <f t="shared" si="106"/>
        <v>0</v>
      </c>
      <c r="P331" s="175">
        <f t="shared" si="106"/>
        <v>0</v>
      </c>
      <c r="Q331" s="441">
        <f>L331+M331+N331</f>
        <v>348</v>
      </c>
    </row>
    <row r="332" spans="1:17">
      <c r="A332" s="609"/>
      <c r="B332" s="572"/>
      <c r="C332" s="572"/>
      <c r="D332" s="609"/>
      <c r="E332" s="611"/>
      <c r="F332" s="178" t="s">
        <v>124</v>
      </c>
      <c r="G332" s="177">
        <f t="shared" si="104"/>
        <v>140.94</v>
      </c>
      <c r="H332" s="177" t="s">
        <v>182</v>
      </c>
      <c r="I332" s="177" t="s">
        <v>182</v>
      </c>
      <c r="J332" s="220" t="s">
        <v>182</v>
      </c>
      <c r="K332" s="175">
        <f>K334/19*81</f>
        <v>0</v>
      </c>
      <c r="L332" s="175">
        <v>140.94</v>
      </c>
      <c r="M332" s="175">
        <v>0</v>
      </c>
      <c r="N332" s="175">
        <v>140.94</v>
      </c>
      <c r="O332" s="175">
        <v>0</v>
      </c>
      <c r="P332" s="175">
        <v>0</v>
      </c>
      <c r="Q332" s="441">
        <f>L332+M332+N332</f>
        <v>281.88</v>
      </c>
    </row>
    <row r="333" spans="1:17" ht="22.5">
      <c r="A333" s="609"/>
      <c r="B333" s="572"/>
      <c r="C333" s="572"/>
      <c r="D333" s="609"/>
      <c r="E333" s="611"/>
      <c r="F333" s="178" t="s">
        <v>148</v>
      </c>
      <c r="G333" s="177">
        <f t="shared" si="104"/>
        <v>33.06</v>
      </c>
      <c r="H333" s="177" t="s">
        <v>182</v>
      </c>
      <c r="I333" s="177" t="s">
        <v>182</v>
      </c>
      <c r="J333" s="220" t="s">
        <v>182</v>
      </c>
      <c r="K333" s="175">
        <f t="shared" ref="K333:P333" si="107">K334+K335</f>
        <v>0</v>
      </c>
      <c r="L333" s="175">
        <f t="shared" si="107"/>
        <v>33.06</v>
      </c>
      <c r="M333" s="175">
        <f t="shared" si="107"/>
        <v>0</v>
      </c>
      <c r="N333" s="175">
        <f t="shared" si="107"/>
        <v>33.06</v>
      </c>
      <c r="O333" s="175">
        <f t="shared" si="107"/>
        <v>0</v>
      </c>
      <c r="P333" s="175">
        <f t="shared" si="107"/>
        <v>0</v>
      </c>
      <c r="Q333" s="441">
        <f>L333+N333</f>
        <v>66.12</v>
      </c>
    </row>
    <row r="334" spans="1:17" ht="22.5">
      <c r="A334" s="609"/>
      <c r="B334" s="572"/>
      <c r="C334" s="572"/>
      <c r="D334" s="609"/>
      <c r="E334" s="611"/>
      <c r="F334" s="178" t="s">
        <v>123</v>
      </c>
      <c r="G334" s="177">
        <f t="shared" si="104"/>
        <v>33.06</v>
      </c>
      <c r="H334" s="177" t="s">
        <v>182</v>
      </c>
      <c r="I334" s="177" t="s">
        <v>182</v>
      </c>
      <c r="J334" s="220" t="s">
        <v>182</v>
      </c>
      <c r="K334" s="175">
        <v>0</v>
      </c>
      <c r="L334" s="175">
        <v>33.06</v>
      </c>
      <c r="M334" s="175">
        <v>0</v>
      </c>
      <c r="N334" s="175">
        <v>33.06</v>
      </c>
      <c r="O334" s="175">
        <v>0</v>
      </c>
      <c r="P334" s="175">
        <v>0</v>
      </c>
    </row>
    <row r="335" spans="1:17" ht="22.5">
      <c r="A335" s="609"/>
      <c r="B335" s="572"/>
      <c r="C335" s="572"/>
      <c r="D335" s="609"/>
      <c r="E335" s="611"/>
      <c r="F335" s="178" t="s">
        <v>147</v>
      </c>
      <c r="G335" s="177">
        <f t="shared" si="104"/>
        <v>0</v>
      </c>
      <c r="H335" s="177" t="s">
        <v>182</v>
      </c>
      <c r="I335" s="177" t="s">
        <v>182</v>
      </c>
      <c r="J335" s="220" t="s">
        <v>182</v>
      </c>
      <c r="K335" s="175">
        <v>0</v>
      </c>
      <c r="L335" s="175">
        <v>0</v>
      </c>
      <c r="M335" s="175">
        <v>0</v>
      </c>
      <c r="N335" s="175">
        <v>0</v>
      </c>
      <c r="O335" s="175">
        <v>0</v>
      </c>
      <c r="P335" s="175">
        <v>0</v>
      </c>
    </row>
    <row r="336" spans="1:17" ht="22.5">
      <c r="A336" s="609"/>
      <c r="B336" s="572"/>
      <c r="C336" s="572"/>
      <c r="D336" s="609"/>
      <c r="E336" s="611"/>
      <c r="F336" s="178" t="s">
        <v>264</v>
      </c>
      <c r="G336" s="177">
        <f t="shared" si="104"/>
        <v>0</v>
      </c>
      <c r="H336" s="177" t="s">
        <v>182</v>
      </c>
      <c r="I336" s="177" t="s">
        <v>182</v>
      </c>
      <c r="J336" s="220" t="s">
        <v>182</v>
      </c>
      <c r="K336" s="175">
        <v>0</v>
      </c>
      <c r="L336" s="175">
        <v>0</v>
      </c>
      <c r="M336" s="175">
        <v>0</v>
      </c>
      <c r="N336" s="175">
        <v>0</v>
      </c>
      <c r="O336" s="175">
        <v>0</v>
      </c>
      <c r="P336" s="175">
        <v>0</v>
      </c>
    </row>
    <row r="337" spans="1:18">
      <c r="A337" s="609"/>
      <c r="B337" s="572"/>
      <c r="C337" s="572"/>
      <c r="D337" s="609"/>
      <c r="E337" s="611"/>
      <c r="F337" s="178" t="s">
        <v>265</v>
      </c>
      <c r="G337" s="177">
        <f t="shared" si="104"/>
        <v>0</v>
      </c>
      <c r="H337" s="177" t="s">
        <v>182</v>
      </c>
      <c r="I337" s="177" t="s">
        <v>182</v>
      </c>
      <c r="J337" s="220" t="s">
        <v>182</v>
      </c>
      <c r="K337" s="175">
        <v>0</v>
      </c>
      <c r="L337" s="175">
        <v>0</v>
      </c>
      <c r="M337" s="175">
        <v>0</v>
      </c>
      <c r="N337" s="175">
        <v>0</v>
      </c>
      <c r="O337" s="175">
        <v>0</v>
      </c>
      <c r="P337" s="175">
        <v>0</v>
      </c>
    </row>
    <row r="338" spans="1:18" ht="22.5">
      <c r="A338" s="613"/>
      <c r="B338" s="580"/>
      <c r="C338" s="580"/>
      <c r="D338" s="613"/>
      <c r="E338" s="612"/>
      <c r="F338" s="178" t="s">
        <v>260</v>
      </c>
      <c r="G338" s="177">
        <f t="shared" si="104"/>
        <v>33.06</v>
      </c>
      <c r="H338" s="177" t="s">
        <v>182</v>
      </c>
      <c r="I338" s="177" t="s">
        <v>182</v>
      </c>
      <c r="J338" s="220" t="s">
        <v>182</v>
      </c>
      <c r="K338" s="175">
        <f t="shared" ref="K338:P338" si="108">K333</f>
        <v>0</v>
      </c>
      <c r="L338" s="175">
        <f t="shared" si="108"/>
        <v>33.06</v>
      </c>
      <c r="M338" s="175">
        <f t="shared" si="108"/>
        <v>0</v>
      </c>
      <c r="N338" s="175">
        <f t="shared" si="108"/>
        <v>33.06</v>
      </c>
      <c r="O338" s="175">
        <f t="shared" si="108"/>
        <v>0</v>
      </c>
      <c r="P338" s="175">
        <f t="shared" si="108"/>
        <v>0</v>
      </c>
    </row>
    <row r="339" spans="1:18">
      <c r="A339" s="608" t="s">
        <v>83</v>
      </c>
      <c r="B339" s="571" t="s">
        <v>144</v>
      </c>
      <c r="C339" s="571" t="s">
        <v>28</v>
      </c>
      <c r="D339" s="608" t="s">
        <v>17</v>
      </c>
      <c r="E339" s="610" t="s">
        <v>470</v>
      </c>
      <c r="F339" s="178" t="s">
        <v>50</v>
      </c>
      <c r="G339" s="177">
        <f>K339+L339+M339</f>
        <v>3064.9949999999999</v>
      </c>
      <c r="H339" s="177" t="s">
        <v>182</v>
      </c>
      <c r="I339" s="177" t="s">
        <v>182</v>
      </c>
      <c r="J339" s="220" t="s">
        <v>182</v>
      </c>
      <c r="K339" s="175">
        <f t="shared" ref="K339:P339" si="109">K340+K341+K344+K345</f>
        <v>1521.4950000000001</v>
      </c>
      <c r="L339" s="175">
        <f t="shared" si="109"/>
        <v>1543.5</v>
      </c>
      <c r="M339" s="175">
        <f t="shared" si="109"/>
        <v>0</v>
      </c>
      <c r="N339" s="175">
        <f t="shared" si="109"/>
        <v>1543.5</v>
      </c>
      <c r="O339" s="175">
        <f t="shared" si="109"/>
        <v>0</v>
      </c>
      <c r="P339" s="175">
        <f t="shared" si="109"/>
        <v>0</v>
      </c>
      <c r="Q339" s="441">
        <f>L339+M339+N339</f>
        <v>3087</v>
      </c>
    </row>
    <row r="340" spans="1:18">
      <c r="A340" s="609"/>
      <c r="B340" s="572"/>
      <c r="C340" s="572"/>
      <c r="D340" s="609"/>
      <c r="E340" s="611"/>
      <c r="F340" s="178" t="s">
        <v>124</v>
      </c>
      <c r="G340" s="177">
        <f t="shared" ref="G340:G351" si="110">K340+L340+M340</f>
        <v>2482.6400000000003</v>
      </c>
      <c r="H340" s="177" t="s">
        <v>182</v>
      </c>
      <c r="I340" s="177" t="s">
        <v>182</v>
      </c>
      <c r="J340" s="220" t="s">
        <v>182</v>
      </c>
      <c r="K340" s="683">
        <v>1232.4100000000001</v>
      </c>
      <c r="L340" s="175">
        <v>1250.23</v>
      </c>
      <c r="M340" s="175">
        <f t="shared" ref="M340:P340" si="111">M342/19*81</f>
        <v>0</v>
      </c>
      <c r="N340" s="175">
        <v>1250.23</v>
      </c>
      <c r="O340" s="175">
        <f t="shared" si="111"/>
        <v>0</v>
      </c>
      <c r="P340" s="175">
        <f t="shared" si="111"/>
        <v>0</v>
      </c>
      <c r="Q340" s="441">
        <f>L340+N340</f>
        <v>2500.46</v>
      </c>
    </row>
    <row r="341" spans="1:18" ht="22.5">
      <c r="A341" s="609"/>
      <c r="B341" s="572"/>
      <c r="C341" s="572"/>
      <c r="D341" s="609"/>
      <c r="E341" s="611"/>
      <c r="F341" s="178" t="s">
        <v>148</v>
      </c>
      <c r="G341" s="177">
        <f t="shared" si="110"/>
        <v>582.35500000000002</v>
      </c>
      <c r="H341" s="177" t="s">
        <v>182</v>
      </c>
      <c r="I341" s="177" t="s">
        <v>182</v>
      </c>
      <c r="J341" s="220" t="s">
        <v>182</v>
      </c>
      <c r="K341" s="175">
        <f>K342+K343</f>
        <v>289.08499999999998</v>
      </c>
      <c r="L341" s="175">
        <f t="shared" ref="L341:P341" si="112">L342+L343</f>
        <v>293.27</v>
      </c>
      <c r="M341" s="175">
        <f t="shared" si="112"/>
        <v>0</v>
      </c>
      <c r="N341" s="175">
        <f>N342+N343</f>
        <v>293.27</v>
      </c>
      <c r="O341" s="175">
        <f t="shared" si="112"/>
        <v>0</v>
      </c>
      <c r="P341" s="175">
        <f t="shared" si="112"/>
        <v>0</v>
      </c>
      <c r="Q341" s="441">
        <f>L341+N341</f>
        <v>586.54</v>
      </c>
    </row>
    <row r="342" spans="1:18" ht="22.5">
      <c r="A342" s="609"/>
      <c r="B342" s="572"/>
      <c r="C342" s="572"/>
      <c r="D342" s="609"/>
      <c r="E342" s="611"/>
      <c r="F342" s="178" t="s">
        <v>123</v>
      </c>
      <c r="G342" s="177">
        <f t="shared" si="110"/>
        <v>582.35500000000002</v>
      </c>
      <c r="H342" s="177" t="s">
        <v>182</v>
      </c>
      <c r="I342" s="177" t="s">
        <v>182</v>
      </c>
      <c r="J342" s="220" t="s">
        <v>182</v>
      </c>
      <c r="K342" s="175">
        <v>289.08499999999998</v>
      </c>
      <c r="L342" s="175">
        <v>293.27</v>
      </c>
      <c r="M342" s="175">
        <v>0</v>
      </c>
      <c r="N342" s="175">
        <v>293.27</v>
      </c>
      <c r="O342" s="175">
        <v>0</v>
      </c>
      <c r="P342" s="175">
        <v>0</v>
      </c>
    </row>
    <row r="343" spans="1:18" ht="22.5">
      <c r="A343" s="609"/>
      <c r="B343" s="572"/>
      <c r="C343" s="572"/>
      <c r="D343" s="609"/>
      <c r="E343" s="611"/>
      <c r="F343" s="178" t="s">
        <v>147</v>
      </c>
      <c r="G343" s="177">
        <f t="shared" si="110"/>
        <v>0</v>
      </c>
      <c r="H343" s="177" t="s">
        <v>182</v>
      </c>
      <c r="I343" s="177" t="s">
        <v>182</v>
      </c>
      <c r="J343" s="220" t="s">
        <v>182</v>
      </c>
      <c r="K343" s="175">
        <v>0</v>
      </c>
      <c r="L343" s="175">
        <v>0</v>
      </c>
      <c r="M343" s="175">
        <v>0</v>
      </c>
      <c r="N343" s="175">
        <v>0</v>
      </c>
      <c r="O343" s="175">
        <v>0</v>
      </c>
      <c r="P343" s="175">
        <v>0</v>
      </c>
    </row>
    <row r="344" spans="1:18" ht="22.5">
      <c r="A344" s="609"/>
      <c r="B344" s="572"/>
      <c r="C344" s="572"/>
      <c r="D344" s="609"/>
      <c r="E344" s="611"/>
      <c r="F344" s="178" t="s">
        <v>264</v>
      </c>
      <c r="G344" s="177">
        <f t="shared" si="110"/>
        <v>0</v>
      </c>
      <c r="H344" s="177" t="s">
        <v>182</v>
      </c>
      <c r="I344" s="177" t="s">
        <v>182</v>
      </c>
      <c r="J344" s="220" t="s">
        <v>182</v>
      </c>
      <c r="K344" s="175">
        <v>0</v>
      </c>
      <c r="L344" s="175">
        <v>0</v>
      </c>
      <c r="M344" s="175">
        <v>0</v>
      </c>
      <c r="N344" s="175">
        <v>0</v>
      </c>
      <c r="O344" s="175">
        <v>0</v>
      </c>
      <c r="P344" s="175">
        <v>0</v>
      </c>
    </row>
    <row r="345" spans="1:18">
      <c r="A345" s="609"/>
      <c r="B345" s="572"/>
      <c r="C345" s="572"/>
      <c r="D345" s="609"/>
      <c r="E345" s="611"/>
      <c r="F345" s="178" t="s">
        <v>265</v>
      </c>
      <c r="G345" s="177">
        <f t="shared" si="110"/>
        <v>0</v>
      </c>
      <c r="H345" s="177" t="s">
        <v>182</v>
      </c>
      <c r="I345" s="177" t="s">
        <v>182</v>
      </c>
      <c r="J345" s="220" t="s">
        <v>182</v>
      </c>
      <c r="K345" s="175">
        <v>0</v>
      </c>
      <c r="L345" s="175">
        <v>0</v>
      </c>
      <c r="M345" s="175">
        <v>0</v>
      </c>
      <c r="N345" s="175">
        <v>0</v>
      </c>
      <c r="O345" s="175">
        <v>0</v>
      </c>
      <c r="P345" s="175">
        <v>0</v>
      </c>
    </row>
    <row r="346" spans="1:18" ht="22.5">
      <c r="A346" s="613"/>
      <c r="B346" s="580"/>
      <c r="C346" s="580"/>
      <c r="D346" s="613"/>
      <c r="E346" s="612"/>
      <c r="F346" s="178" t="s">
        <v>260</v>
      </c>
      <c r="G346" s="177">
        <f t="shared" si="110"/>
        <v>582.35500000000002</v>
      </c>
      <c r="H346" s="177" t="s">
        <v>182</v>
      </c>
      <c r="I346" s="177" t="s">
        <v>182</v>
      </c>
      <c r="J346" s="220" t="s">
        <v>182</v>
      </c>
      <c r="K346" s="175">
        <f t="shared" ref="K346:P346" si="113">K341</f>
        <v>289.08499999999998</v>
      </c>
      <c r="L346" s="175">
        <f t="shared" si="113"/>
        <v>293.27</v>
      </c>
      <c r="M346" s="175">
        <f t="shared" si="113"/>
        <v>0</v>
      </c>
      <c r="N346" s="175">
        <f t="shared" si="113"/>
        <v>293.27</v>
      </c>
      <c r="O346" s="175">
        <f t="shared" si="113"/>
        <v>0</v>
      </c>
      <c r="P346" s="175">
        <f t="shared" si="113"/>
        <v>0</v>
      </c>
    </row>
    <row r="347" spans="1:18" ht="15" customHeight="1">
      <c r="A347" s="608" t="s">
        <v>83</v>
      </c>
      <c r="B347" s="608" t="s">
        <v>144</v>
      </c>
      <c r="C347" s="608" t="s">
        <v>28</v>
      </c>
      <c r="D347" s="608" t="s">
        <v>18</v>
      </c>
      <c r="E347" s="610" t="s">
        <v>422</v>
      </c>
      <c r="F347" s="178" t="s">
        <v>111</v>
      </c>
      <c r="G347" s="177">
        <f t="shared" si="110"/>
        <v>20680.370000000003</v>
      </c>
      <c r="H347" s="177" t="s">
        <v>182</v>
      </c>
      <c r="I347" s="177" t="s">
        <v>182</v>
      </c>
      <c r="J347" s="220" t="s">
        <v>182</v>
      </c>
      <c r="K347" s="175">
        <f t="shared" ref="K347:P347" si="114">K348+K349+K352+K353</f>
        <v>3464.4300000000003</v>
      </c>
      <c r="L347" s="175">
        <f t="shared" si="114"/>
        <v>11236.5</v>
      </c>
      <c r="M347" s="175">
        <f t="shared" si="114"/>
        <v>5979.4400000000005</v>
      </c>
      <c r="N347" s="175">
        <f t="shared" si="114"/>
        <v>11236.5</v>
      </c>
      <c r="O347" s="175">
        <f t="shared" si="114"/>
        <v>0</v>
      </c>
      <c r="P347" s="175">
        <f t="shared" si="114"/>
        <v>0</v>
      </c>
      <c r="Q347" s="441">
        <f>L347+M347+N347</f>
        <v>28452.440000000002</v>
      </c>
    </row>
    <row r="348" spans="1:18">
      <c r="A348" s="609"/>
      <c r="B348" s="609"/>
      <c r="C348" s="609"/>
      <c r="D348" s="609"/>
      <c r="E348" s="611"/>
      <c r="F348" s="178" t="s">
        <v>124</v>
      </c>
      <c r="G348" s="177">
        <f t="shared" si="110"/>
        <v>16751.1083</v>
      </c>
      <c r="H348" s="177" t="s">
        <v>182</v>
      </c>
      <c r="I348" s="177" t="s">
        <v>182</v>
      </c>
      <c r="J348" s="220" t="s">
        <v>182</v>
      </c>
      <c r="K348" s="175">
        <f t="shared" ref="K348:P348" si="115">K350/19*81</f>
        <v>2806.1883000000003</v>
      </c>
      <c r="L348" s="175">
        <v>9101.57</v>
      </c>
      <c r="M348" s="175">
        <v>4843.3500000000004</v>
      </c>
      <c r="N348" s="175">
        <v>9101.57</v>
      </c>
      <c r="O348" s="175">
        <f t="shared" si="115"/>
        <v>0</v>
      </c>
      <c r="P348" s="175">
        <f t="shared" si="115"/>
        <v>0</v>
      </c>
      <c r="Q348" s="441">
        <f>L348+M348+N348</f>
        <v>23046.489999999998</v>
      </c>
    </row>
    <row r="349" spans="1:18" ht="22.5">
      <c r="A349" s="609"/>
      <c r="B349" s="609"/>
      <c r="C349" s="609"/>
      <c r="D349" s="609"/>
      <c r="E349" s="611"/>
      <c r="F349" s="178" t="s">
        <v>148</v>
      </c>
      <c r="G349" s="177">
        <f t="shared" si="110"/>
        <v>3929.2617</v>
      </c>
      <c r="H349" s="177" t="s">
        <v>182</v>
      </c>
      <c r="I349" s="177" t="s">
        <v>182</v>
      </c>
      <c r="J349" s="220" t="s">
        <v>182</v>
      </c>
      <c r="K349" s="175">
        <f t="shared" ref="K349:P349" si="116">K350+K351</f>
        <v>658.24170000000004</v>
      </c>
      <c r="L349" s="175">
        <f t="shared" si="116"/>
        <v>2134.9299999999998</v>
      </c>
      <c r="M349" s="175">
        <f t="shared" si="116"/>
        <v>1136.0899999999999</v>
      </c>
      <c r="N349" s="175">
        <f t="shared" si="116"/>
        <v>2134.9299999999998</v>
      </c>
      <c r="O349" s="175">
        <f t="shared" si="116"/>
        <v>0</v>
      </c>
      <c r="P349" s="175">
        <f t="shared" si="116"/>
        <v>0</v>
      </c>
      <c r="Q349" s="441">
        <f>L349+M349+N349</f>
        <v>5405.9499999999989</v>
      </c>
      <c r="R349" s="441"/>
    </row>
    <row r="350" spans="1:18" ht="22.5">
      <c r="A350" s="609"/>
      <c r="B350" s="609"/>
      <c r="C350" s="609"/>
      <c r="D350" s="609"/>
      <c r="E350" s="611"/>
      <c r="F350" s="178" t="s">
        <v>123</v>
      </c>
      <c r="G350" s="177">
        <f t="shared" si="110"/>
        <v>3929.2617</v>
      </c>
      <c r="H350" s="177" t="s">
        <v>182</v>
      </c>
      <c r="I350" s="177" t="s">
        <v>182</v>
      </c>
      <c r="J350" s="220" t="s">
        <v>182</v>
      </c>
      <c r="K350" s="175">
        <v>658.24170000000004</v>
      </c>
      <c r="L350" s="175">
        <f>L354+L355</f>
        <v>2134.9299999999998</v>
      </c>
      <c r="M350" s="175">
        <f>1349.33-M359</f>
        <v>1136.0899999999999</v>
      </c>
      <c r="N350" s="175">
        <v>2134.9299999999998</v>
      </c>
      <c r="O350" s="175">
        <v>0</v>
      </c>
      <c r="P350" s="175">
        <v>0</v>
      </c>
    </row>
    <row r="351" spans="1:18" ht="22.5">
      <c r="A351" s="609"/>
      <c r="B351" s="609"/>
      <c r="C351" s="609"/>
      <c r="D351" s="609"/>
      <c r="E351" s="611"/>
      <c r="F351" s="178" t="s">
        <v>147</v>
      </c>
      <c r="G351" s="177">
        <f t="shared" si="110"/>
        <v>0</v>
      </c>
      <c r="H351" s="177" t="s">
        <v>182</v>
      </c>
      <c r="I351" s="177" t="s">
        <v>182</v>
      </c>
      <c r="J351" s="220" t="s">
        <v>182</v>
      </c>
      <c r="K351" s="175">
        <v>0</v>
      </c>
      <c r="L351" s="175">
        <v>0</v>
      </c>
      <c r="M351" s="175">
        <v>0</v>
      </c>
      <c r="N351" s="175">
        <v>0</v>
      </c>
      <c r="O351" s="175">
        <v>0</v>
      </c>
      <c r="P351" s="175">
        <v>0</v>
      </c>
    </row>
    <row r="352" spans="1:18" ht="22.5">
      <c r="A352" s="609"/>
      <c r="B352" s="609"/>
      <c r="C352" s="609"/>
      <c r="D352" s="609"/>
      <c r="E352" s="611"/>
      <c r="F352" s="178" t="s">
        <v>264</v>
      </c>
      <c r="G352" s="177">
        <f>K352+L352+M352</f>
        <v>0</v>
      </c>
      <c r="H352" s="177" t="s">
        <v>182</v>
      </c>
      <c r="I352" s="177" t="s">
        <v>182</v>
      </c>
      <c r="J352" s="220" t="s">
        <v>182</v>
      </c>
      <c r="K352" s="175">
        <v>0</v>
      </c>
      <c r="L352" s="175">
        <v>0</v>
      </c>
      <c r="M352" s="175">
        <v>0</v>
      </c>
      <c r="N352" s="175">
        <v>0</v>
      </c>
      <c r="O352" s="175">
        <v>0</v>
      </c>
      <c r="P352" s="175">
        <v>0</v>
      </c>
    </row>
    <row r="353" spans="1:17">
      <c r="A353" s="609"/>
      <c r="B353" s="609"/>
      <c r="C353" s="609"/>
      <c r="D353" s="609"/>
      <c r="E353" s="611"/>
      <c r="F353" s="178" t="s">
        <v>265</v>
      </c>
      <c r="G353" s="177">
        <f t="shared" ref="G353:G362" si="117">K353+L353+M353</f>
        <v>0</v>
      </c>
      <c r="H353" s="177" t="s">
        <v>182</v>
      </c>
      <c r="I353" s="177" t="s">
        <v>182</v>
      </c>
      <c r="J353" s="220" t="s">
        <v>182</v>
      </c>
      <c r="K353" s="175">
        <v>0</v>
      </c>
      <c r="L353" s="175">
        <v>0</v>
      </c>
      <c r="M353" s="175">
        <v>0</v>
      </c>
      <c r="N353" s="175">
        <v>0</v>
      </c>
      <c r="O353" s="175">
        <v>0</v>
      </c>
      <c r="P353" s="175">
        <v>0</v>
      </c>
    </row>
    <row r="354" spans="1:17" ht="22.5">
      <c r="A354" s="609"/>
      <c r="B354" s="609"/>
      <c r="C354" s="609"/>
      <c r="D354" s="609"/>
      <c r="E354" s="611"/>
      <c r="F354" s="178" t="s">
        <v>260</v>
      </c>
      <c r="G354" s="177">
        <f t="shared" si="117"/>
        <v>3351.8517000000002</v>
      </c>
      <c r="H354" s="177" t="s">
        <v>182</v>
      </c>
      <c r="I354" s="177" t="s">
        <v>182</v>
      </c>
      <c r="J354" s="220" t="s">
        <v>182</v>
      </c>
      <c r="K354" s="175">
        <f>K349</f>
        <v>658.24170000000004</v>
      </c>
      <c r="L354" s="175">
        <v>1557.52</v>
      </c>
      <c r="M354" s="175">
        <f>M349</f>
        <v>1136.0899999999999</v>
      </c>
      <c r="N354" s="175">
        <v>1557.52</v>
      </c>
      <c r="O354" s="175">
        <f>O349</f>
        <v>0</v>
      </c>
      <c r="P354" s="175">
        <f>P349</f>
        <v>0</v>
      </c>
    </row>
    <row r="355" spans="1:17" ht="22.5">
      <c r="A355" s="587"/>
      <c r="B355" s="587"/>
      <c r="C355" s="587"/>
      <c r="D355" s="587"/>
      <c r="E355" s="587"/>
      <c r="F355" s="178" t="s">
        <v>76</v>
      </c>
      <c r="G355" s="177">
        <f>K355+L355+M355</f>
        <v>577.41</v>
      </c>
      <c r="H355" s="177" t="s">
        <v>182</v>
      </c>
      <c r="I355" s="177" t="s">
        <v>182</v>
      </c>
      <c r="J355" s="220" t="s">
        <v>182</v>
      </c>
      <c r="K355" s="175">
        <v>0</v>
      </c>
      <c r="L355" s="175">
        <v>577.41</v>
      </c>
      <c r="M355" s="175">
        <v>0</v>
      </c>
      <c r="N355" s="175">
        <v>577.41</v>
      </c>
      <c r="O355" s="175">
        <v>0</v>
      </c>
      <c r="P355" s="175">
        <v>0</v>
      </c>
    </row>
    <row r="356" spans="1:17">
      <c r="A356" s="608" t="s">
        <v>83</v>
      </c>
      <c r="B356" s="571" t="s">
        <v>144</v>
      </c>
      <c r="C356" s="571" t="s">
        <v>28</v>
      </c>
      <c r="D356" s="608" t="s">
        <v>29</v>
      </c>
      <c r="E356" s="610" t="s">
        <v>423</v>
      </c>
      <c r="F356" s="178" t="s">
        <v>50</v>
      </c>
      <c r="G356" s="177">
        <f t="shared" si="117"/>
        <v>3443.5</v>
      </c>
      <c r="H356" s="177" t="s">
        <v>182</v>
      </c>
      <c r="I356" s="177" t="s">
        <v>182</v>
      </c>
      <c r="J356" s="220" t="s">
        <v>182</v>
      </c>
      <c r="K356" s="175">
        <f t="shared" ref="K356:P356" si="118">K357+K358+K361+K362</f>
        <v>1198.8999999999999</v>
      </c>
      <c r="L356" s="175">
        <f t="shared" si="118"/>
        <v>1122.3</v>
      </c>
      <c r="M356" s="175">
        <f t="shared" ref="M356" si="119">M357+M358+M361+M362</f>
        <v>1122.3</v>
      </c>
      <c r="N356" s="175">
        <f t="shared" si="118"/>
        <v>1122.3</v>
      </c>
      <c r="O356" s="175">
        <f t="shared" si="118"/>
        <v>0</v>
      </c>
      <c r="P356" s="175">
        <f t="shared" si="118"/>
        <v>0</v>
      </c>
      <c r="Q356" s="441">
        <f>L356+M356+N356</f>
        <v>3366.8999999999996</v>
      </c>
    </row>
    <row r="357" spans="1:17">
      <c r="A357" s="609"/>
      <c r="B357" s="572"/>
      <c r="C357" s="572"/>
      <c r="D357" s="609"/>
      <c r="E357" s="611"/>
      <c r="F357" s="178" t="s">
        <v>124</v>
      </c>
      <c r="G357" s="177">
        <f t="shared" si="117"/>
        <v>2789.2289999999998</v>
      </c>
      <c r="H357" s="177" t="s">
        <v>182</v>
      </c>
      <c r="I357" s="177" t="s">
        <v>182</v>
      </c>
      <c r="J357" s="220" t="s">
        <v>182</v>
      </c>
      <c r="K357" s="175">
        <f t="shared" ref="K357:P357" si="120">K359/19*81</f>
        <v>971.10899999999992</v>
      </c>
      <c r="L357" s="175">
        <f>909.06</f>
        <v>909.06</v>
      </c>
      <c r="M357" s="175">
        <f>909.06</f>
        <v>909.06</v>
      </c>
      <c r="N357" s="175">
        <v>909.06</v>
      </c>
      <c r="O357" s="175">
        <f t="shared" si="120"/>
        <v>0</v>
      </c>
      <c r="P357" s="175">
        <f t="shared" si="120"/>
        <v>0</v>
      </c>
      <c r="Q357" s="441">
        <f>L357+M357+N357</f>
        <v>2727.18</v>
      </c>
    </row>
    <row r="358" spans="1:17" ht="22.5">
      <c r="A358" s="609"/>
      <c r="B358" s="572"/>
      <c r="C358" s="572"/>
      <c r="D358" s="609"/>
      <c r="E358" s="611"/>
      <c r="F358" s="178" t="s">
        <v>148</v>
      </c>
      <c r="G358" s="177">
        <f t="shared" si="117"/>
        <v>654.27099999999996</v>
      </c>
      <c r="H358" s="177" t="s">
        <v>182</v>
      </c>
      <c r="I358" s="177" t="s">
        <v>182</v>
      </c>
      <c r="J358" s="220" t="s">
        <v>182</v>
      </c>
      <c r="K358" s="175">
        <f>SUM(K360+K359)</f>
        <v>227.791</v>
      </c>
      <c r="L358" s="175">
        <f>L359+L360</f>
        <v>213.24</v>
      </c>
      <c r="M358" s="175">
        <f>M359+M360</f>
        <v>213.24</v>
      </c>
      <c r="N358" s="175">
        <f>N359+N360</f>
        <v>213.24</v>
      </c>
      <c r="O358" s="175">
        <f>O359+O360</f>
        <v>0</v>
      </c>
      <c r="P358" s="175">
        <f>P359+P360</f>
        <v>0</v>
      </c>
      <c r="Q358" s="441">
        <f>L358+M358+N358</f>
        <v>639.72</v>
      </c>
    </row>
    <row r="359" spans="1:17" ht="22.5">
      <c r="A359" s="609"/>
      <c r="B359" s="572"/>
      <c r="C359" s="572"/>
      <c r="D359" s="609"/>
      <c r="E359" s="611"/>
      <c r="F359" s="178" t="s">
        <v>123</v>
      </c>
      <c r="G359" s="177">
        <f t="shared" si="117"/>
        <v>654.27099999999996</v>
      </c>
      <c r="H359" s="177" t="s">
        <v>182</v>
      </c>
      <c r="I359" s="177" t="s">
        <v>182</v>
      </c>
      <c r="J359" s="220" t="s">
        <v>182</v>
      </c>
      <c r="K359" s="175">
        <v>227.791</v>
      </c>
      <c r="L359" s="175">
        <v>213.24</v>
      </c>
      <c r="M359" s="175">
        <v>213.24</v>
      </c>
      <c r="N359" s="175">
        <v>213.24</v>
      </c>
      <c r="O359" s="175">
        <v>0</v>
      </c>
      <c r="P359" s="175">
        <v>0</v>
      </c>
      <c r="Q359" s="441"/>
    </row>
    <row r="360" spans="1:17" ht="22.5">
      <c r="A360" s="609"/>
      <c r="B360" s="572"/>
      <c r="C360" s="572"/>
      <c r="D360" s="609"/>
      <c r="E360" s="611"/>
      <c r="F360" s="178" t="s">
        <v>147</v>
      </c>
      <c r="G360" s="177">
        <f t="shared" si="117"/>
        <v>0</v>
      </c>
      <c r="H360" s="177" t="s">
        <v>182</v>
      </c>
      <c r="I360" s="177" t="s">
        <v>182</v>
      </c>
      <c r="J360" s="220" t="s">
        <v>182</v>
      </c>
      <c r="K360" s="175">
        <v>0</v>
      </c>
      <c r="L360" s="175">
        <v>0</v>
      </c>
      <c r="M360" s="175">
        <v>0</v>
      </c>
      <c r="N360" s="175">
        <v>0</v>
      </c>
      <c r="O360" s="175">
        <v>0</v>
      </c>
      <c r="P360" s="175">
        <v>0</v>
      </c>
    </row>
    <row r="361" spans="1:17" ht="22.5">
      <c r="A361" s="609"/>
      <c r="B361" s="572"/>
      <c r="C361" s="572"/>
      <c r="D361" s="609"/>
      <c r="E361" s="611"/>
      <c r="F361" s="178" t="s">
        <v>264</v>
      </c>
      <c r="G361" s="177">
        <f t="shared" si="117"/>
        <v>0</v>
      </c>
      <c r="H361" s="177" t="s">
        <v>182</v>
      </c>
      <c r="I361" s="177" t="s">
        <v>182</v>
      </c>
      <c r="J361" s="220" t="s">
        <v>182</v>
      </c>
      <c r="K361" s="175">
        <v>0</v>
      </c>
      <c r="L361" s="175">
        <v>0</v>
      </c>
      <c r="M361" s="175">
        <v>0</v>
      </c>
      <c r="N361" s="175">
        <v>0</v>
      </c>
      <c r="O361" s="175">
        <v>0</v>
      </c>
      <c r="P361" s="175">
        <v>0</v>
      </c>
    </row>
    <row r="362" spans="1:17">
      <c r="A362" s="609"/>
      <c r="B362" s="572"/>
      <c r="C362" s="572"/>
      <c r="D362" s="609"/>
      <c r="E362" s="611"/>
      <c r="F362" s="178" t="s">
        <v>265</v>
      </c>
      <c r="G362" s="177">
        <f t="shared" si="117"/>
        <v>0</v>
      </c>
      <c r="H362" s="177" t="s">
        <v>182</v>
      </c>
      <c r="I362" s="177" t="s">
        <v>182</v>
      </c>
      <c r="J362" s="220" t="s">
        <v>182</v>
      </c>
      <c r="K362" s="175">
        <v>0</v>
      </c>
      <c r="L362" s="175">
        <v>0</v>
      </c>
      <c r="M362" s="175">
        <v>0</v>
      </c>
      <c r="N362" s="175">
        <v>0</v>
      </c>
      <c r="O362" s="175">
        <v>0</v>
      </c>
      <c r="P362" s="175">
        <v>0</v>
      </c>
    </row>
    <row r="363" spans="1:17" ht="22.5">
      <c r="A363" s="613"/>
      <c r="B363" s="580"/>
      <c r="C363" s="580"/>
      <c r="D363" s="613"/>
      <c r="E363" s="612"/>
      <c r="F363" s="178" t="s">
        <v>260</v>
      </c>
      <c r="G363" s="177">
        <f>K363+L363+M363</f>
        <v>654.27099999999996</v>
      </c>
      <c r="H363" s="177" t="s">
        <v>182</v>
      </c>
      <c r="I363" s="177" t="s">
        <v>182</v>
      </c>
      <c r="J363" s="220" t="s">
        <v>182</v>
      </c>
      <c r="K363" s="175">
        <v>227.791</v>
      </c>
      <c r="L363" s="175">
        <f>L358</f>
        <v>213.24</v>
      </c>
      <c r="M363" s="175">
        <f>M358</f>
        <v>213.24</v>
      </c>
      <c r="N363" s="175">
        <f>N358</f>
        <v>213.24</v>
      </c>
      <c r="O363" s="175">
        <f>O358</f>
        <v>0</v>
      </c>
      <c r="P363" s="175">
        <f>P358</f>
        <v>0</v>
      </c>
    </row>
    <row r="364" spans="1:17">
      <c r="A364" s="608" t="s">
        <v>83</v>
      </c>
      <c r="B364" s="571" t="s">
        <v>144</v>
      </c>
      <c r="C364" s="571" t="s">
        <v>28</v>
      </c>
      <c r="D364" s="608" t="s">
        <v>28</v>
      </c>
      <c r="E364" s="610" t="s">
        <v>334</v>
      </c>
      <c r="F364" s="178" t="s">
        <v>50</v>
      </c>
      <c r="G364" s="177">
        <f t="shared" ref="G364:G373" si="121">K364+L364+M364</f>
        <v>0</v>
      </c>
      <c r="H364" s="177" t="s">
        <v>182</v>
      </c>
      <c r="I364" s="177" t="s">
        <v>182</v>
      </c>
      <c r="J364" s="220" t="s">
        <v>182</v>
      </c>
      <c r="K364" s="175">
        <f t="shared" ref="K364:P364" si="122">K365+K366+K369+K370</f>
        <v>0</v>
      </c>
      <c r="L364" s="175">
        <f t="shared" si="122"/>
        <v>0</v>
      </c>
      <c r="M364" s="175">
        <f t="shared" si="122"/>
        <v>0</v>
      </c>
      <c r="N364" s="175">
        <f t="shared" si="122"/>
        <v>0</v>
      </c>
      <c r="O364" s="175">
        <f t="shared" si="122"/>
        <v>0</v>
      </c>
      <c r="P364" s="175">
        <f t="shared" si="122"/>
        <v>0</v>
      </c>
    </row>
    <row r="365" spans="1:17">
      <c r="A365" s="609"/>
      <c r="B365" s="572"/>
      <c r="C365" s="572"/>
      <c r="D365" s="609"/>
      <c r="E365" s="611"/>
      <c r="F365" s="178" t="s">
        <v>124</v>
      </c>
      <c r="G365" s="177">
        <f t="shared" si="121"/>
        <v>0</v>
      </c>
      <c r="H365" s="177" t="s">
        <v>182</v>
      </c>
      <c r="I365" s="177" t="s">
        <v>182</v>
      </c>
      <c r="J365" s="220" t="s">
        <v>182</v>
      </c>
      <c r="K365" s="175">
        <f>K367/19*81</f>
        <v>0</v>
      </c>
      <c r="L365" s="175">
        <v>0</v>
      </c>
      <c r="M365" s="175">
        <v>0</v>
      </c>
      <c r="N365" s="175">
        <v>0</v>
      </c>
      <c r="O365" s="175">
        <v>0</v>
      </c>
      <c r="P365" s="175">
        <v>0</v>
      </c>
    </row>
    <row r="366" spans="1:17" ht="22.5">
      <c r="A366" s="609"/>
      <c r="B366" s="572"/>
      <c r="C366" s="572"/>
      <c r="D366" s="609"/>
      <c r="E366" s="611"/>
      <c r="F366" s="178" t="s">
        <v>148</v>
      </c>
      <c r="G366" s="177">
        <f t="shared" si="121"/>
        <v>0</v>
      </c>
      <c r="H366" s="177" t="s">
        <v>182</v>
      </c>
      <c r="I366" s="177" t="s">
        <v>182</v>
      </c>
      <c r="J366" s="220" t="s">
        <v>182</v>
      </c>
      <c r="K366" s="175">
        <f t="shared" ref="K366:P366" si="123">K367+K368</f>
        <v>0</v>
      </c>
      <c r="L366" s="175">
        <f t="shared" si="123"/>
        <v>0</v>
      </c>
      <c r="M366" s="175">
        <f t="shared" si="123"/>
        <v>0</v>
      </c>
      <c r="N366" s="175">
        <f t="shared" si="123"/>
        <v>0</v>
      </c>
      <c r="O366" s="175">
        <f t="shared" si="123"/>
        <v>0</v>
      </c>
      <c r="P366" s="175">
        <f t="shared" si="123"/>
        <v>0</v>
      </c>
    </row>
    <row r="367" spans="1:17" ht="22.5">
      <c r="A367" s="609"/>
      <c r="B367" s="572"/>
      <c r="C367" s="572"/>
      <c r="D367" s="609"/>
      <c r="E367" s="611"/>
      <c r="F367" s="178" t="s">
        <v>123</v>
      </c>
      <c r="G367" s="177">
        <f t="shared" si="121"/>
        <v>0</v>
      </c>
      <c r="H367" s="177" t="s">
        <v>182</v>
      </c>
      <c r="I367" s="177" t="s">
        <v>182</v>
      </c>
      <c r="J367" s="220" t="s">
        <v>182</v>
      </c>
      <c r="K367" s="175">
        <v>0</v>
      </c>
      <c r="L367" s="175">
        <v>0</v>
      </c>
      <c r="M367" s="175">
        <v>0</v>
      </c>
      <c r="N367" s="175">
        <v>0</v>
      </c>
      <c r="O367" s="175">
        <v>0</v>
      </c>
      <c r="P367" s="175">
        <v>0</v>
      </c>
    </row>
    <row r="368" spans="1:17" ht="22.5">
      <c r="A368" s="609"/>
      <c r="B368" s="572"/>
      <c r="C368" s="572"/>
      <c r="D368" s="609"/>
      <c r="E368" s="611"/>
      <c r="F368" s="178" t="s">
        <v>147</v>
      </c>
      <c r="G368" s="177">
        <f t="shared" si="121"/>
        <v>0</v>
      </c>
      <c r="H368" s="177" t="s">
        <v>182</v>
      </c>
      <c r="I368" s="177" t="s">
        <v>182</v>
      </c>
      <c r="J368" s="220" t="s">
        <v>182</v>
      </c>
      <c r="K368" s="175">
        <v>0</v>
      </c>
      <c r="L368" s="175">
        <v>0</v>
      </c>
      <c r="M368" s="175">
        <v>0</v>
      </c>
      <c r="N368" s="175">
        <v>0</v>
      </c>
      <c r="O368" s="175">
        <v>0</v>
      </c>
      <c r="P368" s="175">
        <v>0</v>
      </c>
    </row>
    <row r="369" spans="1:16" ht="22.5">
      <c r="A369" s="609"/>
      <c r="B369" s="572"/>
      <c r="C369" s="572"/>
      <c r="D369" s="609"/>
      <c r="E369" s="611"/>
      <c r="F369" s="178" t="s">
        <v>264</v>
      </c>
      <c r="G369" s="177">
        <f t="shared" si="121"/>
        <v>0</v>
      </c>
      <c r="H369" s="177" t="s">
        <v>182</v>
      </c>
      <c r="I369" s="177" t="s">
        <v>182</v>
      </c>
      <c r="J369" s="220" t="s">
        <v>182</v>
      </c>
      <c r="K369" s="175">
        <v>0</v>
      </c>
      <c r="L369" s="175">
        <v>0</v>
      </c>
      <c r="M369" s="175">
        <v>0</v>
      </c>
      <c r="N369" s="175">
        <v>0</v>
      </c>
      <c r="O369" s="175">
        <v>0</v>
      </c>
      <c r="P369" s="175">
        <v>0</v>
      </c>
    </row>
    <row r="370" spans="1:16">
      <c r="A370" s="609"/>
      <c r="B370" s="572"/>
      <c r="C370" s="572"/>
      <c r="D370" s="609"/>
      <c r="E370" s="611"/>
      <c r="F370" s="178" t="s">
        <v>265</v>
      </c>
      <c r="G370" s="177">
        <f t="shared" si="121"/>
        <v>0</v>
      </c>
      <c r="H370" s="177" t="s">
        <v>182</v>
      </c>
      <c r="I370" s="177" t="s">
        <v>182</v>
      </c>
      <c r="J370" s="220" t="s">
        <v>182</v>
      </c>
      <c r="K370" s="175">
        <v>0</v>
      </c>
      <c r="L370" s="175">
        <v>0</v>
      </c>
      <c r="M370" s="175">
        <v>0</v>
      </c>
      <c r="N370" s="175">
        <v>0</v>
      </c>
      <c r="O370" s="175">
        <v>0</v>
      </c>
      <c r="P370" s="175">
        <v>0</v>
      </c>
    </row>
    <row r="371" spans="1:16" ht="22.5">
      <c r="A371" s="613"/>
      <c r="B371" s="580"/>
      <c r="C371" s="580"/>
      <c r="D371" s="613"/>
      <c r="E371" s="612"/>
      <c r="F371" s="178" t="s">
        <v>260</v>
      </c>
      <c r="G371" s="177">
        <f t="shared" si="121"/>
        <v>0</v>
      </c>
      <c r="H371" s="177" t="s">
        <v>182</v>
      </c>
      <c r="I371" s="177" t="s">
        <v>182</v>
      </c>
      <c r="J371" s="220" t="s">
        <v>182</v>
      </c>
      <c r="K371" s="175">
        <f t="shared" ref="K371:P371" si="124">K366</f>
        <v>0</v>
      </c>
      <c r="L371" s="175">
        <f t="shared" si="124"/>
        <v>0</v>
      </c>
      <c r="M371" s="175">
        <f t="shared" si="124"/>
        <v>0</v>
      </c>
      <c r="N371" s="175">
        <f t="shared" si="124"/>
        <v>0</v>
      </c>
      <c r="O371" s="175">
        <f t="shared" si="124"/>
        <v>0</v>
      </c>
      <c r="P371" s="175">
        <f t="shared" si="124"/>
        <v>0</v>
      </c>
    </row>
    <row r="372" spans="1:16">
      <c r="A372" s="608" t="s">
        <v>83</v>
      </c>
      <c r="B372" s="571" t="s">
        <v>144</v>
      </c>
      <c r="C372" s="571" t="s">
        <v>28</v>
      </c>
      <c r="D372" s="608" t="s">
        <v>13</v>
      </c>
      <c r="E372" s="610" t="s">
        <v>273</v>
      </c>
      <c r="F372" s="178" t="s">
        <v>50</v>
      </c>
      <c r="G372" s="177">
        <f t="shared" si="121"/>
        <v>0</v>
      </c>
      <c r="H372" s="177" t="s">
        <v>182</v>
      </c>
      <c r="I372" s="177" t="s">
        <v>182</v>
      </c>
      <c r="J372" s="220" t="s">
        <v>182</v>
      </c>
      <c r="K372" s="175">
        <f t="shared" ref="K372:P372" si="125">K373+K374+K377+K378</f>
        <v>0</v>
      </c>
      <c r="L372" s="175">
        <f t="shared" si="125"/>
        <v>0</v>
      </c>
      <c r="M372" s="175">
        <f t="shared" si="125"/>
        <v>0</v>
      </c>
      <c r="N372" s="175">
        <f t="shared" si="125"/>
        <v>0</v>
      </c>
      <c r="O372" s="175">
        <f t="shared" si="125"/>
        <v>0</v>
      </c>
      <c r="P372" s="175">
        <f t="shared" si="125"/>
        <v>0</v>
      </c>
    </row>
    <row r="373" spans="1:16">
      <c r="A373" s="609"/>
      <c r="B373" s="572"/>
      <c r="C373" s="572"/>
      <c r="D373" s="609"/>
      <c r="E373" s="611"/>
      <c r="F373" s="178" t="s">
        <v>124</v>
      </c>
      <c r="G373" s="177">
        <f t="shared" si="121"/>
        <v>0</v>
      </c>
      <c r="H373" s="177" t="s">
        <v>182</v>
      </c>
      <c r="I373" s="177" t="s">
        <v>182</v>
      </c>
      <c r="J373" s="220" t="s">
        <v>182</v>
      </c>
      <c r="K373" s="175">
        <f>K375/19*81</f>
        <v>0</v>
      </c>
      <c r="L373" s="175">
        <v>0</v>
      </c>
      <c r="M373" s="175">
        <v>0</v>
      </c>
      <c r="N373" s="175">
        <v>0</v>
      </c>
      <c r="O373" s="175">
        <v>0</v>
      </c>
      <c r="P373" s="175">
        <v>0</v>
      </c>
    </row>
    <row r="374" spans="1:16" ht="22.5">
      <c r="A374" s="609"/>
      <c r="B374" s="572"/>
      <c r="C374" s="572"/>
      <c r="D374" s="609"/>
      <c r="E374" s="611"/>
      <c r="F374" s="178" t="s">
        <v>148</v>
      </c>
      <c r="G374" s="177">
        <f>K374+L374+M374</f>
        <v>0</v>
      </c>
      <c r="H374" s="177" t="s">
        <v>182</v>
      </c>
      <c r="I374" s="177" t="s">
        <v>182</v>
      </c>
      <c r="J374" s="220" t="s">
        <v>182</v>
      </c>
      <c r="K374" s="175">
        <f t="shared" ref="K374:P374" si="126">K375+K376</f>
        <v>0</v>
      </c>
      <c r="L374" s="175">
        <f t="shared" si="126"/>
        <v>0</v>
      </c>
      <c r="M374" s="175">
        <f t="shared" si="126"/>
        <v>0</v>
      </c>
      <c r="N374" s="175">
        <f t="shared" si="126"/>
        <v>0</v>
      </c>
      <c r="O374" s="175">
        <f t="shared" si="126"/>
        <v>0</v>
      </c>
      <c r="P374" s="175">
        <f t="shared" si="126"/>
        <v>0</v>
      </c>
    </row>
    <row r="375" spans="1:16" ht="22.5">
      <c r="A375" s="609"/>
      <c r="B375" s="572"/>
      <c r="C375" s="572"/>
      <c r="D375" s="609"/>
      <c r="E375" s="611"/>
      <c r="F375" s="178" t="s">
        <v>123</v>
      </c>
      <c r="G375" s="177">
        <f t="shared" ref="G375:G388" si="127">K375+L375+M375</f>
        <v>0</v>
      </c>
      <c r="H375" s="177" t="s">
        <v>182</v>
      </c>
      <c r="I375" s="177" t="s">
        <v>182</v>
      </c>
      <c r="J375" s="220" t="s">
        <v>182</v>
      </c>
      <c r="K375" s="175">
        <v>0</v>
      </c>
      <c r="L375" s="175">
        <v>0</v>
      </c>
      <c r="M375" s="175">
        <v>0</v>
      </c>
      <c r="N375" s="175">
        <v>0</v>
      </c>
      <c r="O375" s="175">
        <v>0</v>
      </c>
      <c r="P375" s="175">
        <v>0</v>
      </c>
    </row>
    <row r="376" spans="1:16" ht="22.5">
      <c r="A376" s="609"/>
      <c r="B376" s="572"/>
      <c r="C376" s="572"/>
      <c r="D376" s="609"/>
      <c r="E376" s="611"/>
      <c r="F376" s="178" t="s">
        <v>147</v>
      </c>
      <c r="G376" s="177">
        <f t="shared" si="127"/>
        <v>0</v>
      </c>
      <c r="H376" s="177" t="s">
        <v>182</v>
      </c>
      <c r="I376" s="177" t="s">
        <v>182</v>
      </c>
      <c r="J376" s="220" t="s">
        <v>182</v>
      </c>
      <c r="K376" s="175">
        <v>0</v>
      </c>
      <c r="L376" s="175">
        <v>0</v>
      </c>
      <c r="M376" s="175">
        <v>0</v>
      </c>
      <c r="N376" s="175">
        <v>0</v>
      </c>
      <c r="O376" s="175">
        <v>0</v>
      </c>
      <c r="P376" s="175">
        <v>0</v>
      </c>
    </row>
    <row r="377" spans="1:16" ht="22.5">
      <c r="A377" s="609"/>
      <c r="B377" s="572"/>
      <c r="C377" s="572"/>
      <c r="D377" s="609"/>
      <c r="E377" s="611"/>
      <c r="F377" s="178" t="s">
        <v>264</v>
      </c>
      <c r="G377" s="177">
        <f t="shared" si="127"/>
        <v>0</v>
      </c>
      <c r="H377" s="177" t="s">
        <v>182</v>
      </c>
      <c r="I377" s="177" t="s">
        <v>182</v>
      </c>
      <c r="J377" s="220" t="s">
        <v>182</v>
      </c>
      <c r="K377" s="175">
        <v>0</v>
      </c>
      <c r="L377" s="175">
        <v>0</v>
      </c>
      <c r="M377" s="175">
        <v>0</v>
      </c>
      <c r="N377" s="175">
        <v>0</v>
      </c>
      <c r="O377" s="175">
        <v>0</v>
      </c>
      <c r="P377" s="175">
        <v>0</v>
      </c>
    </row>
    <row r="378" spans="1:16">
      <c r="A378" s="609"/>
      <c r="B378" s="572"/>
      <c r="C378" s="572"/>
      <c r="D378" s="609"/>
      <c r="E378" s="611"/>
      <c r="F378" s="178" t="s">
        <v>265</v>
      </c>
      <c r="G378" s="177">
        <f t="shared" si="127"/>
        <v>0</v>
      </c>
      <c r="H378" s="177" t="s">
        <v>182</v>
      </c>
      <c r="I378" s="177" t="s">
        <v>182</v>
      </c>
      <c r="J378" s="220" t="s">
        <v>182</v>
      </c>
      <c r="K378" s="175">
        <v>0</v>
      </c>
      <c r="L378" s="175">
        <v>0</v>
      </c>
      <c r="M378" s="175">
        <v>0</v>
      </c>
      <c r="N378" s="175">
        <v>0</v>
      </c>
      <c r="O378" s="175">
        <v>0</v>
      </c>
      <c r="P378" s="175">
        <v>0</v>
      </c>
    </row>
    <row r="379" spans="1:16" ht="22.5">
      <c r="A379" s="613"/>
      <c r="B379" s="580"/>
      <c r="C379" s="580"/>
      <c r="D379" s="613"/>
      <c r="E379" s="612"/>
      <c r="F379" s="178" t="s">
        <v>260</v>
      </c>
      <c r="G379" s="177">
        <f t="shared" si="127"/>
        <v>0</v>
      </c>
      <c r="H379" s="177" t="s">
        <v>182</v>
      </c>
      <c r="I379" s="177" t="s">
        <v>182</v>
      </c>
      <c r="J379" s="220" t="s">
        <v>182</v>
      </c>
      <c r="K379" s="175">
        <f t="shared" ref="K379:P379" si="128">K374</f>
        <v>0</v>
      </c>
      <c r="L379" s="175">
        <f t="shared" si="128"/>
        <v>0</v>
      </c>
      <c r="M379" s="175">
        <f t="shared" si="128"/>
        <v>0</v>
      </c>
      <c r="N379" s="175">
        <f t="shared" si="128"/>
        <v>0</v>
      </c>
      <c r="O379" s="175">
        <f t="shared" si="128"/>
        <v>0</v>
      </c>
      <c r="P379" s="175">
        <f t="shared" si="128"/>
        <v>0</v>
      </c>
    </row>
    <row r="380" spans="1:16">
      <c r="A380" s="608" t="s">
        <v>83</v>
      </c>
      <c r="B380" s="571" t="s">
        <v>144</v>
      </c>
      <c r="C380" s="571" t="s">
        <v>28</v>
      </c>
      <c r="D380" s="608" t="s">
        <v>30</v>
      </c>
      <c r="E380" s="610" t="s">
        <v>274</v>
      </c>
      <c r="F380" s="178" t="s">
        <v>50</v>
      </c>
      <c r="G380" s="177">
        <f t="shared" si="127"/>
        <v>0</v>
      </c>
      <c r="H380" s="177" t="s">
        <v>182</v>
      </c>
      <c r="I380" s="177" t="s">
        <v>182</v>
      </c>
      <c r="J380" s="220" t="s">
        <v>182</v>
      </c>
      <c r="K380" s="175">
        <f t="shared" ref="K380:P380" si="129">K381+K382+K385+K386</f>
        <v>0</v>
      </c>
      <c r="L380" s="175">
        <f t="shared" si="129"/>
        <v>0</v>
      </c>
      <c r="M380" s="175">
        <f t="shared" si="129"/>
        <v>0</v>
      </c>
      <c r="N380" s="175">
        <f t="shared" si="129"/>
        <v>0</v>
      </c>
      <c r="O380" s="175">
        <f t="shared" si="129"/>
        <v>0</v>
      </c>
      <c r="P380" s="175">
        <f t="shared" si="129"/>
        <v>0</v>
      </c>
    </row>
    <row r="381" spans="1:16">
      <c r="A381" s="609"/>
      <c r="B381" s="572"/>
      <c r="C381" s="572"/>
      <c r="D381" s="609"/>
      <c r="E381" s="611"/>
      <c r="F381" s="178" t="s">
        <v>124</v>
      </c>
      <c r="G381" s="177">
        <f t="shared" si="127"/>
        <v>0</v>
      </c>
      <c r="H381" s="177" t="s">
        <v>182</v>
      </c>
      <c r="I381" s="177" t="s">
        <v>182</v>
      </c>
      <c r="J381" s="220" t="s">
        <v>182</v>
      </c>
      <c r="K381" s="175">
        <f>K383/19*81</f>
        <v>0</v>
      </c>
      <c r="L381" s="175">
        <v>0</v>
      </c>
      <c r="M381" s="175">
        <v>0</v>
      </c>
      <c r="N381" s="175">
        <v>0</v>
      </c>
      <c r="O381" s="175">
        <v>0</v>
      </c>
      <c r="P381" s="175">
        <v>0</v>
      </c>
    </row>
    <row r="382" spans="1:16" ht="22.5">
      <c r="A382" s="609"/>
      <c r="B382" s="572"/>
      <c r="C382" s="572"/>
      <c r="D382" s="609"/>
      <c r="E382" s="611"/>
      <c r="F382" s="178" t="s">
        <v>148</v>
      </c>
      <c r="G382" s="177">
        <f t="shared" si="127"/>
        <v>0</v>
      </c>
      <c r="H382" s="177" t="s">
        <v>182</v>
      </c>
      <c r="I382" s="177" t="s">
        <v>182</v>
      </c>
      <c r="J382" s="220" t="s">
        <v>182</v>
      </c>
      <c r="K382" s="175">
        <f t="shared" ref="K382:P382" si="130">K383+K384</f>
        <v>0</v>
      </c>
      <c r="L382" s="175">
        <f t="shared" si="130"/>
        <v>0</v>
      </c>
      <c r="M382" s="175">
        <f t="shared" si="130"/>
        <v>0</v>
      </c>
      <c r="N382" s="175">
        <f t="shared" si="130"/>
        <v>0</v>
      </c>
      <c r="O382" s="175">
        <f t="shared" si="130"/>
        <v>0</v>
      </c>
      <c r="P382" s="175">
        <f t="shared" si="130"/>
        <v>0</v>
      </c>
    </row>
    <row r="383" spans="1:16" ht="22.5">
      <c r="A383" s="609"/>
      <c r="B383" s="572"/>
      <c r="C383" s="572"/>
      <c r="D383" s="609"/>
      <c r="E383" s="611"/>
      <c r="F383" s="178" t="s">
        <v>123</v>
      </c>
      <c r="G383" s="177">
        <f t="shared" si="127"/>
        <v>0</v>
      </c>
      <c r="H383" s="177" t="s">
        <v>182</v>
      </c>
      <c r="I383" s="177" t="s">
        <v>182</v>
      </c>
      <c r="J383" s="220" t="s">
        <v>182</v>
      </c>
      <c r="K383" s="175">
        <v>0</v>
      </c>
      <c r="L383" s="175">
        <v>0</v>
      </c>
      <c r="M383" s="175">
        <v>0</v>
      </c>
      <c r="N383" s="175">
        <v>0</v>
      </c>
      <c r="O383" s="175">
        <v>0</v>
      </c>
      <c r="P383" s="175">
        <v>0</v>
      </c>
    </row>
    <row r="384" spans="1:16" ht="22.5">
      <c r="A384" s="609"/>
      <c r="B384" s="572"/>
      <c r="C384" s="572"/>
      <c r="D384" s="609"/>
      <c r="E384" s="611"/>
      <c r="F384" s="178" t="s">
        <v>147</v>
      </c>
      <c r="G384" s="177">
        <f t="shared" si="127"/>
        <v>0</v>
      </c>
      <c r="H384" s="177" t="s">
        <v>182</v>
      </c>
      <c r="I384" s="177" t="s">
        <v>182</v>
      </c>
      <c r="J384" s="220" t="s">
        <v>182</v>
      </c>
      <c r="K384" s="175">
        <v>0</v>
      </c>
      <c r="L384" s="175">
        <v>0</v>
      </c>
      <c r="M384" s="175">
        <v>0</v>
      </c>
      <c r="N384" s="175">
        <v>0</v>
      </c>
      <c r="O384" s="175">
        <v>0</v>
      </c>
      <c r="P384" s="175">
        <v>0</v>
      </c>
    </row>
    <row r="385" spans="1:17" ht="22.5">
      <c r="A385" s="609"/>
      <c r="B385" s="572"/>
      <c r="C385" s="572"/>
      <c r="D385" s="609"/>
      <c r="E385" s="611"/>
      <c r="F385" s="178" t="s">
        <v>264</v>
      </c>
      <c r="G385" s="177">
        <f t="shared" si="127"/>
        <v>0</v>
      </c>
      <c r="H385" s="177" t="s">
        <v>182</v>
      </c>
      <c r="I385" s="177" t="s">
        <v>182</v>
      </c>
      <c r="J385" s="220" t="s">
        <v>182</v>
      </c>
      <c r="K385" s="175">
        <v>0</v>
      </c>
      <c r="L385" s="175">
        <v>0</v>
      </c>
      <c r="M385" s="175">
        <v>0</v>
      </c>
      <c r="N385" s="175">
        <v>0</v>
      </c>
      <c r="O385" s="175">
        <v>0</v>
      </c>
      <c r="P385" s="175">
        <v>0</v>
      </c>
    </row>
    <row r="386" spans="1:17">
      <c r="A386" s="609"/>
      <c r="B386" s="572"/>
      <c r="C386" s="572"/>
      <c r="D386" s="609"/>
      <c r="E386" s="611"/>
      <c r="F386" s="178" t="s">
        <v>265</v>
      </c>
      <c r="G386" s="177">
        <f t="shared" si="127"/>
        <v>0</v>
      </c>
      <c r="H386" s="177" t="s">
        <v>182</v>
      </c>
      <c r="I386" s="177" t="s">
        <v>182</v>
      </c>
      <c r="J386" s="220" t="s">
        <v>182</v>
      </c>
      <c r="K386" s="175">
        <v>0</v>
      </c>
      <c r="L386" s="175">
        <v>0</v>
      </c>
      <c r="M386" s="175">
        <v>0</v>
      </c>
      <c r="N386" s="175">
        <v>0</v>
      </c>
      <c r="O386" s="175">
        <v>0</v>
      </c>
      <c r="P386" s="175">
        <v>0</v>
      </c>
    </row>
    <row r="387" spans="1:17" ht="22.5">
      <c r="A387" s="613"/>
      <c r="B387" s="580"/>
      <c r="C387" s="580"/>
      <c r="D387" s="613"/>
      <c r="E387" s="612"/>
      <c r="F387" s="178" t="s">
        <v>260</v>
      </c>
      <c r="G387" s="177">
        <f t="shared" si="127"/>
        <v>0</v>
      </c>
      <c r="H387" s="177" t="s">
        <v>182</v>
      </c>
      <c r="I387" s="177" t="s">
        <v>182</v>
      </c>
      <c r="J387" s="220" t="s">
        <v>182</v>
      </c>
      <c r="K387" s="175">
        <f t="shared" ref="K387:P387" si="131">K382</f>
        <v>0</v>
      </c>
      <c r="L387" s="175">
        <f t="shared" si="131"/>
        <v>0</v>
      </c>
      <c r="M387" s="175">
        <f t="shared" si="131"/>
        <v>0</v>
      </c>
      <c r="N387" s="175">
        <f t="shared" si="131"/>
        <v>0</v>
      </c>
      <c r="O387" s="175">
        <f t="shared" si="131"/>
        <v>0</v>
      </c>
      <c r="P387" s="175">
        <f t="shared" si="131"/>
        <v>0</v>
      </c>
    </row>
    <row r="388" spans="1:17">
      <c r="A388" s="608" t="s">
        <v>83</v>
      </c>
      <c r="B388" s="571" t="s">
        <v>144</v>
      </c>
      <c r="C388" s="571" t="s">
        <v>28</v>
      </c>
      <c r="D388" s="608" t="s">
        <v>31</v>
      </c>
      <c r="E388" s="610" t="s">
        <v>424</v>
      </c>
      <c r="F388" s="178" t="s">
        <v>111</v>
      </c>
      <c r="G388" s="177">
        <f t="shared" si="127"/>
        <v>15061.312105263158</v>
      </c>
      <c r="H388" s="177" t="s">
        <v>182</v>
      </c>
      <c r="I388" s="177" t="s">
        <v>182</v>
      </c>
      <c r="J388" s="220" t="s">
        <v>182</v>
      </c>
      <c r="K388" s="175">
        <f t="shared" ref="K388:P388" si="132">K389+K390+K393+K394</f>
        <v>7689.4699999999993</v>
      </c>
      <c r="L388" s="175">
        <f t="shared" si="132"/>
        <v>270</v>
      </c>
      <c r="M388" s="175">
        <f t="shared" si="132"/>
        <v>7101.8421052631584</v>
      </c>
      <c r="N388" s="175">
        <f t="shared" si="132"/>
        <v>270</v>
      </c>
      <c r="O388" s="175">
        <f t="shared" si="132"/>
        <v>0</v>
      </c>
      <c r="P388" s="175">
        <f t="shared" si="132"/>
        <v>0</v>
      </c>
      <c r="Q388" s="441">
        <f>L388+M388+N388</f>
        <v>7641.8421052631584</v>
      </c>
    </row>
    <row r="389" spans="1:17">
      <c r="A389" s="609"/>
      <c r="B389" s="572"/>
      <c r="C389" s="572"/>
      <c r="D389" s="609"/>
      <c r="E389" s="611"/>
      <c r="F389" s="178" t="s">
        <v>124</v>
      </c>
      <c r="G389" s="177">
        <f>K389+L389+M389</f>
        <v>12199.662805263157</v>
      </c>
      <c r="H389" s="177" t="s">
        <v>182</v>
      </c>
      <c r="I389" s="177" t="s">
        <v>182</v>
      </c>
      <c r="J389" s="220" t="s">
        <v>182</v>
      </c>
      <c r="K389" s="175">
        <f t="shared" ref="K389:P389" si="133">K391/19*81</f>
        <v>6228.4706999999999</v>
      </c>
      <c r="L389" s="175">
        <f t="shared" si="133"/>
        <v>218.7</v>
      </c>
      <c r="M389" s="175">
        <f t="shared" si="133"/>
        <v>5752.492105263158</v>
      </c>
      <c r="N389" s="175">
        <f t="shared" si="133"/>
        <v>218.7</v>
      </c>
      <c r="O389" s="175">
        <f t="shared" si="133"/>
        <v>0</v>
      </c>
      <c r="P389" s="175">
        <f t="shared" si="133"/>
        <v>0</v>
      </c>
      <c r="Q389" s="441">
        <f t="shared" ref="Q389:Q390" si="134">L389+M389+N389</f>
        <v>6189.8921052631576</v>
      </c>
    </row>
    <row r="390" spans="1:17" ht="22.5">
      <c r="A390" s="609"/>
      <c r="B390" s="572"/>
      <c r="C390" s="572"/>
      <c r="D390" s="609"/>
      <c r="E390" s="611"/>
      <c r="F390" s="178" t="s">
        <v>148</v>
      </c>
      <c r="G390" s="177">
        <f t="shared" ref="G390:G396" si="135">K390+L390+M390</f>
        <v>2861.6493</v>
      </c>
      <c r="H390" s="177" t="s">
        <v>182</v>
      </c>
      <c r="I390" s="177" t="s">
        <v>182</v>
      </c>
      <c r="J390" s="220" t="s">
        <v>182</v>
      </c>
      <c r="K390" s="175">
        <f t="shared" ref="K390:P390" si="136">K391+K392</f>
        <v>1460.9992999999999</v>
      </c>
      <c r="L390" s="175">
        <f t="shared" si="136"/>
        <v>51.3</v>
      </c>
      <c r="M390" s="175">
        <f t="shared" si="136"/>
        <v>1349.35</v>
      </c>
      <c r="N390" s="175">
        <f>N391+N392</f>
        <v>51.3</v>
      </c>
      <c r="O390" s="175">
        <f t="shared" si="136"/>
        <v>0</v>
      </c>
      <c r="P390" s="175">
        <f t="shared" si="136"/>
        <v>0</v>
      </c>
      <c r="Q390" s="441">
        <f t="shared" si="134"/>
        <v>1451.9499999999998</v>
      </c>
    </row>
    <row r="391" spans="1:17" ht="22.5">
      <c r="A391" s="609"/>
      <c r="B391" s="572"/>
      <c r="C391" s="572"/>
      <c r="D391" s="609"/>
      <c r="E391" s="611"/>
      <c r="F391" s="178" t="s">
        <v>123</v>
      </c>
      <c r="G391" s="177">
        <f t="shared" si="135"/>
        <v>2861.6493</v>
      </c>
      <c r="H391" s="177" t="s">
        <v>182</v>
      </c>
      <c r="I391" s="177" t="s">
        <v>182</v>
      </c>
      <c r="J391" s="220" t="s">
        <v>182</v>
      </c>
      <c r="K391" s="175">
        <v>1460.9992999999999</v>
      </c>
      <c r="L391" s="175">
        <f>L397</f>
        <v>51.3</v>
      </c>
      <c r="M391" s="175">
        <v>1349.35</v>
      </c>
      <c r="N391" s="175">
        <v>51.3</v>
      </c>
      <c r="O391" s="175">
        <v>0</v>
      </c>
      <c r="P391" s="175">
        <v>0</v>
      </c>
    </row>
    <row r="392" spans="1:17" ht="22.5">
      <c r="A392" s="609"/>
      <c r="B392" s="572"/>
      <c r="C392" s="572"/>
      <c r="D392" s="609"/>
      <c r="E392" s="611"/>
      <c r="F392" s="178" t="s">
        <v>147</v>
      </c>
      <c r="G392" s="177">
        <f t="shared" si="135"/>
        <v>0</v>
      </c>
      <c r="H392" s="177" t="s">
        <v>182</v>
      </c>
      <c r="I392" s="177" t="s">
        <v>182</v>
      </c>
      <c r="J392" s="220" t="s">
        <v>182</v>
      </c>
      <c r="K392" s="175">
        <v>0</v>
      </c>
      <c r="L392" s="175">
        <v>0</v>
      </c>
      <c r="M392" s="175">
        <v>0</v>
      </c>
      <c r="N392" s="175">
        <v>0</v>
      </c>
      <c r="O392" s="175">
        <v>0</v>
      </c>
      <c r="P392" s="175">
        <v>0</v>
      </c>
    </row>
    <row r="393" spans="1:17" ht="22.5">
      <c r="A393" s="609"/>
      <c r="B393" s="572"/>
      <c r="C393" s="572"/>
      <c r="D393" s="609"/>
      <c r="E393" s="611"/>
      <c r="F393" s="178" t="s">
        <v>264</v>
      </c>
      <c r="G393" s="177">
        <f t="shared" si="135"/>
        <v>0</v>
      </c>
      <c r="H393" s="177" t="s">
        <v>182</v>
      </c>
      <c r="I393" s="177" t="s">
        <v>182</v>
      </c>
      <c r="J393" s="220" t="s">
        <v>182</v>
      </c>
      <c r="K393" s="175">
        <v>0</v>
      </c>
      <c r="L393" s="175">
        <v>0</v>
      </c>
      <c r="M393" s="175">
        <v>0</v>
      </c>
      <c r="N393" s="175">
        <v>0</v>
      </c>
      <c r="O393" s="175">
        <v>0</v>
      </c>
      <c r="P393" s="175">
        <v>0</v>
      </c>
    </row>
    <row r="394" spans="1:17">
      <c r="A394" s="609"/>
      <c r="B394" s="572"/>
      <c r="C394" s="572"/>
      <c r="D394" s="609"/>
      <c r="E394" s="611"/>
      <c r="F394" s="178" t="s">
        <v>265</v>
      </c>
      <c r="G394" s="177">
        <f t="shared" si="135"/>
        <v>0</v>
      </c>
      <c r="H394" s="177" t="s">
        <v>182</v>
      </c>
      <c r="I394" s="177" t="s">
        <v>182</v>
      </c>
      <c r="J394" s="220" t="s">
        <v>182</v>
      </c>
      <c r="K394" s="175">
        <v>0</v>
      </c>
      <c r="L394" s="175">
        <v>0</v>
      </c>
      <c r="M394" s="175">
        <v>0</v>
      </c>
      <c r="N394" s="175">
        <v>0</v>
      </c>
      <c r="O394" s="175">
        <v>0</v>
      </c>
      <c r="P394" s="175">
        <v>0</v>
      </c>
    </row>
    <row r="395" spans="1:17" ht="22.5">
      <c r="A395" s="609"/>
      <c r="B395" s="572"/>
      <c r="C395" s="572"/>
      <c r="D395" s="609"/>
      <c r="E395" s="611"/>
      <c r="F395" s="178" t="s">
        <v>76</v>
      </c>
      <c r="G395" s="177">
        <f t="shared" si="135"/>
        <v>747.65</v>
      </c>
      <c r="H395" s="177" t="s">
        <v>182</v>
      </c>
      <c r="I395" s="177" t="s">
        <v>182</v>
      </c>
      <c r="J395" s="220" t="s">
        <v>182</v>
      </c>
      <c r="K395" s="175">
        <v>747.65</v>
      </c>
      <c r="L395" s="175">
        <v>0</v>
      </c>
      <c r="M395" s="175">
        <v>0</v>
      </c>
      <c r="N395" s="175">
        <v>0</v>
      </c>
      <c r="O395" s="175">
        <v>0</v>
      </c>
      <c r="P395" s="175">
        <v>0</v>
      </c>
    </row>
    <row r="396" spans="1:17" ht="22.5">
      <c r="A396" s="609"/>
      <c r="B396" s="572"/>
      <c r="C396" s="572"/>
      <c r="D396" s="609"/>
      <c r="E396" s="611"/>
      <c r="F396" s="178" t="s">
        <v>78</v>
      </c>
      <c r="G396" s="177">
        <f t="shared" si="135"/>
        <v>0</v>
      </c>
      <c r="H396" s="177" t="s">
        <v>182</v>
      </c>
      <c r="I396" s="177" t="s">
        <v>182</v>
      </c>
      <c r="J396" s="220" t="s">
        <v>182</v>
      </c>
      <c r="K396" s="175">
        <v>0</v>
      </c>
      <c r="L396" s="175">
        <v>0</v>
      </c>
      <c r="M396" s="175">
        <v>0</v>
      </c>
      <c r="N396" s="175">
        <v>0</v>
      </c>
      <c r="O396" s="175">
        <v>0</v>
      </c>
      <c r="P396" s="175">
        <v>0</v>
      </c>
    </row>
    <row r="397" spans="1:17" ht="22.5">
      <c r="A397" s="613"/>
      <c r="B397" s="580"/>
      <c r="C397" s="580"/>
      <c r="D397" s="613"/>
      <c r="E397" s="612"/>
      <c r="F397" s="178" t="s">
        <v>233</v>
      </c>
      <c r="G397" s="177">
        <f>K397+L397+M397</f>
        <v>2114</v>
      </c>
      <c r="H397" s="177" t="s">
        <v>182</v>
      </c>
      <c r="I397" s="177" t="s">
        <v>182</v>
      </c>
      <c r="J397" s="220" t="s">
        <v>182</v>
      </c>
      <c r="K397" s="175">
        <v>713.35</v>
      </c>
      <c r="L397" s="175">
        <v>51.3</v>
      </c>
      <c r="M397" s="175">
        <f>M390</f>
        <v>1349.35</v>
      </c>
      <c r="N397" s="175">
        <f>N390</f>
        <v>51.3</v>
      </c>
      <c r="O397" s="175">
        <f>O390</f>
        <v>0</v>
      </c>
      <c r="P397" s="175">
        <f>P390</f>
        <v>0</v>
      </c>
    </row>
    <row r="398" spans="1:17">
      <c r="A398" s="608" t="s">
        <v>83</v>
      </c>
      <c r="B398" s="571" t="s">
        <v>144</v>
      </c>
      <c r="C398" s="571" t="s">
        <v>28</v>
      </c>
      <c r="D398" s="608" t="s">
        <v>52</v>
      </c>
      <c r="E398" s="610" t="s">
        <v>275</v>
      </c>
      <c r="F398" s="178" t="s">
        <v>50</v>
      </c>
      <c r="G398" s="177">
        <f t="shared" ref="G398:G409" si="137">K398+L398+M398</f>
        <v>0</v>
      </c>
      <c r="H398" s="177" t="s">
        <v>182</v>
      </c>
      <c r="I398" s="177" t="s">
        <v>182</v>
      </c>
      <c r="J398" s="220" t="s">
        <v>182</v>
      </c>
      <c r="K398" s="175">
        <f t="shared" ref="K398:P398" si="138">K399+K400+K403+K404</f>
        <v>0</v>
      </c>
      <c r="L398" s="175">
        <f t="shared" si="138"/>
        <v>0</v>
      </c>
      <c r="M398" s="175">
        <f t="shared" si="138"/>
        <v>0</v>
      </c>
      <c r="N398" s="175">
        <f t="shared" si="138"/>
        <v>0</v>
      </c>
      <c r="O398" s="175">
        <f t="shared" si="138"/>
        <v>0</v>
      </c>
      <c r="P398" s="175">
        <f t="shared" si="138"/>
        <v>0</v>
      </c>
    </row>
    <row r="399" spans="1:17">
      <c r="A399" s="609"/>
      <c r="B399" s="572"/>
      <c r="C399" s="572"/>
      <c r="D399" s="609"/>
      <c r="E399" s="611"/>
      <c r="F399" s="178" t="s">
        <v>124</v>
      </c>
      <c r="G399" s="177">
        <f t="shared" si="137"/>
        <v>0</v>
      </c>
      <c r="H399" s="177" t="s">
        <v>182</v>
      </c>
      <c r="I399" s="177" t="s">
        <v>182</v>
      </c>
      <c r="J399" s="220" t="s">
        <v>182</v>
      </c>
      <c r="K399" s="175">
        <f>K401/19*81</f>
        <v>0</v>
      </c>
      <c r="L399" s="175">
        <v>0</v>
      </c>
      <c r="M399" s="175">
        <v>0</v>
      </c>
      <c r="N399" s="175">
        <v>0</v>
      </c>
      <c r="O399" s="175">
        <v>0</v>
      </c>
      <c r="P399" s="175">
        <v>0</v>
      </c>
    </row>
    <row r="400" spans="1:17" ht="22.5">
      <c r="A400" s="609"/>
      <c r="B400" s="572"/>
      <c r="C400" s="572"/>
      <c r="D400" s="609"/>
      <c r="E400" s="611"/>
      <c r="F400" s="178" t="s">
        <v>148</v>
      </c>
      <c r="G400" s="177">
        <f t="shared" si="137"/>
        <v>0</v>
      </c>
      <c r="H400" s="177" t="s">
        <v>182</v>
      </c>
      <c r="I400" s="177" t="s">
        <v>182</v>
      </c>
      <c r="J400" s="220" t="s">
        <v>182</v>
      </c>
      <c r="K400" s="175">
        <f t="shared" ref="K400:P400" si="139">K401+K402</f>
        <v>0</v>
      </c>
      <c r="L400" s="175">
        <f t="shared" si="139"/>
        <v>0</v>
      </c>
      <c r="M400" s="175">
        <f t="shared" si="139"/>
        <v>0</v>
      </c>
      <c r="N400" s="175">
        <f t="shared" si="139"/>
        <v>0</v>
      </c>
      <c r="O400" s="175">
        <f t="shared" si="139"/>
        <v>0</v>
      </c>
      <c r="P400" s="175">
        <f t="shared" si="139"/>
        <v>0</v>
      </c>
    </row>
    <row r="401" spans="1:16" ht="22.5">
      <c r="A401" s="609"/>
      <c r="B401" s="572"/>
      <c r="C401" s="572"/>
      <c r="D401" s="609"/>
      <c r="E401" s="611"/>
      <c r="F401" s="178" t="s">
        <v>123</v>
      </c>
      <c r="G401" s="177">
        <f t="shared" si="137"/>
        <v>0</v>
      </c>
      <c r="H401" s="177" t="s">
        <v>182</v>
      </c>
      <c r="I401" s="177" t="s">
        <v>182</v>
      </c>
      <c r="J401" s="220" t="s">
        <v>182</v>
      </c>
      <c r="K401" s="175">
        <v>0</v>
      </c>
      <c r="L401" s="175">
        <v>0</v>
      </c>
      <c r="M401" s="175">
        <v>0</v>
      </c>
      <c r="N401" s="175">
        <v>0</v>
      </c>
      <c r="O401" s="175">
        <v>0</v>
      </c>
      <c r="P401" s="175">
        <v>0</v>
      </c>
    </row>
    <row r="402" spans="1:16" ht="22.5">
      <c r="A402" s="609"/>
      <c r="B402" s="572"/>
      <c r="C402" s="572"/>
      <c r="D402" s="609"/>
      <c r="E402" s="611"/>
      <c r="F402" s="178" t="s">
        <v>147</v>
      </c>
      <c r="G402" s="177">
        <f t="shared" si="137"/>
        <v>0</v>
      </c>
      <c r="H402" s="177" t="s">
        <v>182</v>
      </c>
      <c r="I402" s="177" t="s">
        <v>182</v>
      </c>
      <c r="J402" s="220" t="s">
        <v>182</v>
      </c>
      <c r="K402" s="175">
        <v>0</v>
      </c>
      <c r="L402" s="175">
        <v>0</v>
      </c>
      <c r="M402" s="175">
        <v>0</v>
      </c>
      <c r="N402" s="175">
        <v>0</v>
      </c>
      <c r="O402" s="175">
        <v>0</v>
      </c>
      <c r="P402" s="175">
        <v>0</v>
      </c>
    </row>
    <row r="403" spans="1:16" ht="22.5">
      <c r="A403" s="609"/>
      <c r="B403" s="572"/>
      <c r="C403" s="572"/>
      <c r="D403" s="609"/>
      <c r="E403" s="611"/>
      <c r="F403" s="178" t="s">
        <v>264</v>
      </c>
      <c r="G403" s="177">
        <f t="shared" si="137"/>
        <v>0</v>
      </c>
      <c r="H403" s="177" t="s">
        <v>182</v>
      </c>
      <c r="I403" s="177" t="s">
        <v>182</v>
      </c>
      <c r="J403" s="220" t="s">
        <v>182</v>
      </c>
      <c r="K403" s="175">
        <v>0</v>
      </c>
      <c r="L403" s="175">
        <v>0</v>
      </c>
      <c r="M403" s="175">
        <v>0</v>
      </c>
      <c r="N403" s="175">
        <v>0</v>
      </c>
      <c r="O403" s="175">
        <v>0</v>
      </c>
      <c r="P403" s="175">
        <v>0</v>
      </c>
    </row>
    <row r="404" spans="1:16">
      <c r="A404" s="609"/>
      <c r="B404" s="572"/>
      <c r="C404" s="572"/>
      <c r="D404" s="609"/>
      <c r="E404" s="611"/>
      <c r="F404" s="178" t="s">
        <v>265</v>
      </c>
      <c r="G404" s="177">
        <f t="shared" si="137"/>
        <v>0</v>
      </c>
      <c r="H404" s="177" t="s">
        <v>182</v>
      </c>
      <c r="I404" s="177" t="s">
        <v>182</v>
      </c>
      <c r="J404" s="220" t="s">
        <v>182</v>
      </c>
      <c r="K404" s="175">
        <v>0</v>
      </c>
      <c r="L404" s="175">
        <v>0</v>
      </c>
      <c r="M404" s="175">
        <v>0</v>
      </c>
      <c r="N404" s="175">
        <v>0</v>
      </c>
      <c r="O404" s="175">
        <v>0</v>
      </c>
      <c r="P404" s="175">
        <v>0</v>
      </c>
    </row>
    <row r="405" spans="1:16" ht="22.5">
      <c r="A405" s="613"/>
      <c r="B405" s="580"/>
      <c r="C405" s="580"/>
      <c r="D405" s="613"/>
      <c r="E405" s="612"/>
      <c r="F405" s="178" t="s">
        <v>260</v>
      </c>
      <c r="G405" s="177">
        <f t="shared" si="137"/>
        <v>0</v>
      </c>
      <c r="H405" s="177" t="s">
        <v>182</v>
      </c>
      <c r="I405" s="177" t="s">
        <v>182</v>
      </c>
      <c r="J405" s="220" t="s">
        <v>182</v>
      </c>
      <c r="K405" s="175">
        <f t="shared" ref="K405:P405" si="140">K400</f>
        <v>0</v>
      </c>
      <c r="L405" s="175">
        <f t="shared" si="140"/>
        <v>0</v>
      </c>
      <c r="M405" s="175">
        <f t="shared" si="140"/>
        <v>0</v>
      </c>
      <c r="N405" s="175">
        <f t="shared" si="140"/>
        <v>0</v>
      </c>
      <c r="O405" s="175">
        <f t="shared" si="140"/>
        <v>0</v>
      </c>
      <c r="P405" s="175">
        <f t="shared" si="140"/>
        <v>0</v>
      </c>
    </row>
    <row r="406" spans="1:16">
      <c r="A406" s="608" t="s">
        <v>83</v>
      </c>
      <c r="B406" s="571" t="s">
        <v>144</v>
      </c>
      <c r="C406" s="571" t="s">
        <v>28</v>
      </c>
      <c r="D406" s="608" t="s">
        <v>205</v>
      </c>
      <c r="E406" s="610" t="s">
        <v>165</v>
      </c>
      <c r="F406" s="178" t="s">
        <v>111</v>
      </c>
      <c r="G406" s="177">
        <f t="shared" si="137"/>
        <v>472.00000000000006</v>
      </c>
      <c r="H406" s="177" t="s">
        <v>182</v>
      </c>
      <c r="I406" s="177" t="s">
        <v>182</v>
      </c>
      <c r="J406" s="220" t="s">
        <v>182</v>
      </c>
      <c r="K406" s="175">
        <f t="shared" ref="K406:P406" si="141">K407+K408+K411+K412</f>
        <v>472.00000000000006</v>
      </c>
      <c r="L406" s="175">
        <f t="shared" si="141"/>
        <v>0</v>
      </c>
      <c r="M406" s="175">
        <f t="shared" si="141"/>
        <v>0</v>
      </c>
      <c r="N406" s="175">
        <f t="shared" si="141"/>
        <v>0</v>
      </c>
      <c r="O406" s="175">
        <f t="shared" si="141"/>
        <v>0</v>
      </c>
      <c r="P406" s="175">
        <f t="shared" si="141"/>
        <v>0</v>
      </c>
    </row>
    <row r="407" spans="1:16">
      <c r="A407" s="609"/>
      <c r="B407" s="572"/>
      <c r="C407" s="572"/>
      <c r="D407" s="609"/>
      <c r="E407" s="611"/>
      <c r="F407" s="178" t="s">
        <v>124</v>
      </c>
      <c r="G407" s="177">
        <f t="shared" si="137"/>
        <v>382.32000000000005</v>
      </c>
      <c r="H407" s="177" t="s">
        <v>182</v>
      </c>
      <c r="I407" s="177" t="s">
        <v>182</v>
      </c>
      <c r="J407" s="220" t="s">
        <v>182</v>
      </c>
      <c r="K407" s="175">
        <f t="shared" ref="K407:P407" si="142">K409/19*81</f>
        <v>382.32000000000005</v>
      </c>
      <c r="L407" s="175">
        <f t="shared" si="142"/>
        <v>0</v>
      </c>
      <c r="M407" s="175">
        <f t="shared" si="142"/>
        <v>0</v>
      </c>
      <c r="N407" s="175">
        <f t="shared" si="142"/>
        <v>0</v>
      </c>
      <c r="O407" s="175">
        <f t="shared" si="142"/>
        <v>0</v>
      </c>
      <c r="P407" s="175">
        <f t="shared" si="142"/>
        <v>0</v>
      </c>
    </row>
    <row r="408" spans="1:16" ht="22.5">
      <c r="A408" s="609"/>
      <c r="B408" s="572"/>
      <c r="C408" s="572"/>
      <c r="D408" s="609"/>
      <c r="E408" s="611"/>
      <c r="F408" s="178" t="s">
        <v>148</v>
      </c>
      <c r="G408" s="177">
        <f t="shared" si="137"/>
        <v>89.68</v>
      </c>
      <c r="H408" s="177" t="s">
        <v>182</v>
      </c>
      <c r="I408" s="177" t="s">
        <v>182</v>
      </c>
      <c r="J408" s="220" t="s">
        <v>182</v>
      </c>
      <c r="K408" s="175">
        <f t="shared" ref="K408:P408" si="143">K409+K410</f>
        <v>89.68</v>
      </c>
      <c r="L408" s="175">
        <f t="shared" si="143"/>
        <v>0</v>
      </c>
      <c r="M408" s="175">
        <f t="shared" si="143"/>
        <v>0</v>
      </c>
      <c r="N408" s="175">
        <f t="shared" si="143"/>
        <v>0</v>
      </c>
      <c r="O408" s="175">
        <f t="shared" si="143"/>
        <v>0</v>
      </c>
      <c r="P408" s="175">
        <f t="shared" si="143"/>
        <v>0</v>
      </c>
    </row>
    <row r="409" spans="1:16" ht="22.5">
      <c r="A409" s="609"/>
      <c r="B409" s="572"/>
      <c r="C409" s="572"/>
      <c r="D409" s="609"/>
      <c r="E409" s="611"/>
      <c r="F409" s="178" t="s">
        <v>123</v>
      </c>
      <c r="G409" s="177">
        <f t="shared" si="137"/>
        <v>89.68</v>
      </c>
      <c r="H409" s="177" t="s">
        <v>182</v>
      </c>
      <c r="I409" s="177" t="s">
        <v>182</v>
      </c>
      <c r="J409" s="220" t="s">
        <v>182</v>
      </c>
      <c r="K409" s="175">
        <v>89.68</v>
      </c>
      <c r="L409" s="175">
        <v>0</v>
      </c>
      <c r="M409" s="175">
        <v>0</v>
      </c>
      <c r="N409" s="175">
        <v>0</v>
      </c>
      <c r="O409" s="175">
        <v>0</v>
      </c>
      <c r="P409" s="175">
        <v>0</v>
      </c>
    </row>
    <row r="410" spans="1:16" ht="22.5">
      <c r="A410" s="609"/>
      <c r="B410" s="572"/>
      <c r="C410" s="572"/>
      <c r="D410" s="609"/>
      <c r="E410" s="611"/>
      <c r="F410" s="178" t="s">
        <v>147</v>
      </c>
      <c r="G410" s="177">
        <f>K410+L410+M410</f>
        <v>0</v>
      </c>
      <c r="H410" s="177" t="s">
        <v>182</v>
      </c>
      <c r="I410" s="177" t="s">
        <v>182</v>
      </c>
      <c r="J410" s="220" t="s">
        <v>182</v>
      </c>
      <c r="K410" s="175">
        <v>0</v>
      </c>
      <c r="L410" s="175">
        <v>0</v>
      </c>
      <c r="M410" s="175">
        <v>0</v>
      </c>
      <c r="N410" s="175">
        <v>0</v>
      </c>
      <c r="O410" s="175">
        <v>0</v>
      </c>
      <c r="P410" s="175">
        <v>0</v>
      </c>
    </row>
    <row r="411" spans="1:16" ht="22.5">
      <c r="A411" s="609"/>
      <c r="B411" s="572"/>
      <c r="C411" s="572"/>
      <c r="D411" s="609"/>
      <c r="E411" s="611"/>
      <c r="F411" s="178" t="s">
        <v>264</v>
      </c>
      <c r="G411" s="177">
        <f t="shared" ref="G411:G425" si="144">K411+L411+M411</f>
        <v>0</v>
      </c>
      <c r="H411" s="177" t="s">
        <v>182</v>
      </c>
      <c r="I411" s="177" t="s">
        <v>182</v>
      </c>
      <c r="J411" s="220" t="s">
        <v>182</v>
      </c>
      <c r="K411" s="175">
        <v>0</v>
      </c>
      <c r="L411" s="175">
        <v>0</v>
      </c>
      <c r="M411" s="175">
        <v>0</v>
      </c>
      <c r="N411" s="175">
        <v>0</v>
      </c>
      <c r="O411" s="175">
        <v>0</v>
      </c>
      <c r="P411" s="175">
        <v>0</v>
      </c>
    </row>
    <row r="412" spans="1:16">
      <c r="A412" s="609"/>
      <c r="B412" s="572"/>
      <c r="C412" s="572"/>
      <c r="D412" s="609"/>
      <c r="E412" s="611"/>
      <c r="F412" s="178" t="s">
        <v>265</v>
      </c>
      <c r="G412" s="177">
        <f t="shared" si="144"/>
        <v>0</v>
      </c>
      <c r="H412" s="177" t="s">
        <v>182</v>
      </c>
      <c r="I412" s="177" t="s">
        <v>182</v>
      </c>
      <c r="J412" s="220" t="s">
        <v>182</v>
      </c>
      <c r="K412" s="175">
        <v>0</v>
      </c>
      <c r="L412" s="175">
        <v>0</v>
      </c>
      <c r="M412" s="175">
        <v>0</v>
      </c>
      <c r="N412" s="175">
        <v>0</v>
      </c>
      <c r="O412" s="175">
        <v>0</v>
      </c>
      <c r="P412" s="175">
        <v>0</v>
      </c>
    </row>
    <row r="413" spans="1:16" ht="22.5">
      <c r="A413" s="613"/>
      <c r="B413" s="580"/>
      <c r="C413" s="580"/>
      <c r="D413" s="613"/>
      <c r="E413" s="612"/>
      <c r="F413" s="178" t="s">
        <v>233</v>
      </c>
      <c r="G413" s="177">
        <f t="shared" si="144"/>
        <v>89.68</v>
      </c>
      <c r="H413" s="177" t="s">
        <v>182</v>
      </c>
      <c r="I413" s="177" t="s">
        <v>182</v>
      </c>
      <c r="J413" s="220" t="s">
        <v>182</v>
      </c>
      <c r="K413" s="175">
        <f t="shared" ref="K413:P413" si="145">K408</f>
        <v>89.68</v>
      </c>
      <c r="L413" s="175">
        <v>0</v>
      </c>
      <c r="M413" s="175">
        <f t="shared" si="145"/>
        <v>0</v>
      </c>
      <c r="N413" s="175">
        <f t="shared" si="145"/>
        <v>0</v>
      </c>
      <c r="O413" s="175">
        <f t="shared" si="145"/>
        <v>0</v>
      </c>
      <c r="P413" s="175">
        <f t="shared" si="145"/>
        <v>0</v>
      </c>
    </row>
    <row r="414" spans="1:16">
      <c r="A414" s="608" t="s">
        <v>83</v>
      </c>
      <c r="B414" s="571" t="s">
        <v>144</v>
      </c>
      <c r="C414" s="571" t="s">
        <v>28</v>
      </c>
      <c r="D414" s="608" t="s">
        <v>306</v>
      </c>
      <c r="E414" s="610" t="s">
        <v>105</v>
      </c>
      <c r="F414" s="178" t="s">
        <v>111</v>
      </c>
      <c r="G414" s="177">
        <f t="shared" si="144"/>
        <v>0</v>
      </c>
      <c r="H414" s="177" t="s">
        <v>182</v>
      </c>
      <c r="I414" s="177" t="s">
        <v>182</v>
      </c>
      <c r="J414" s="220" t="s">
        <v>182</v>
      </c>
      <c r="K414" s="175">
        <f t="shared" ref="K414:P414" si="146">K415+K416+K419+K420</f>
        <v>0</v>
      </c>
      <c r="L414" s="175">
        <f t="shared" si="146"/>
        <v>0</v>
      </c>
      <c r="M414" s="175">
        <f t="shared" si="146"/>
        <v>0</v>
      </c>
      <c r="N414" s="175">
        <f t="shared" si="146"/>
        <v>0</v>
      </c>
      <c r="O414" s="175">
        <f t="shared" si="146"/>
        <v>0</v>
      </c>
      <c r="P414" s="175">
        <f t="shared" si="146"/>
        <v>0</v>
      </c>
    </row>
    <row r="415" spans="1:16">
      <c r="A415" s="609"/>
      <c r="B415" s="572"/>
      <c r="C415" s="572"/>
      <c r="D415" s="609"/>
      <c r="E415" s="611"/>
      <c r="F415" s="178" t="s">
        <v>124</v>
      </c>
      <c r="G415" s="177">
        <f t="shared" si="144"/>
        <v>0</v>
      </c>
      <c r="H415" s="177" t="s">
        <v>182</v>
      </c>
      <c r="I415" s="177" t="s">
        <v>182</v>
      </c>
      <c r="J415" s="220" t="s">
        <v>182</v>
      </c>
      <c r="K415" s="175">
        <f>K417/19*81</f>
        <v>0</v>
      </c>
      <c r="L415" s="175">
        <v>0</v>
      </c>
      <c r="M415" s="175">
        <v>0</v>
      </c>
      <c r="N415" s="175">
        <v>0</v>
      </c>
      <c r="O415" s="175">
        <v>0</v>
      </c>
      <c r="P415" s="175">
        <v>0</v>
      </c>
    </row>
    <row r="416" spans="1:16" ht="22.5">
      <c r="A416" s="609"/>
      <c r="B416" s="572"/>
      <c r="C416" s="572"/>
      <c r="D416" s="609"/>
      <c r="E416" s="611"/>
      <c r="F416" s="178" t="s">
        <v>148</v>
      </c>
      <c r="G416" s="177">
        <f t="shared" si="144"/>
        <v>0</v>
      </c>
      <c r="H416" s="177" t="s">
        <v>182</v>
      </c>
      <c r="I416" s="177" t="s">
        <v>182</v>
      </c>
      <c r="J416" s="220" t="s">
        <v>182</v>
      </c>
      <c r="K416" s="175">
        <f t="shared" ref="K416:P416" si="147">K417+K418</f>
        <v>0</v>
      </c>
      <c r="L416" s="175">
        <f t="shared" si="147"/>
        <v>0</v>
      </c>
      <c r="M416" s="175">
        <f t="shared" si="147"/>
        <v>0</v>
      </c>
      <c r="N416" s="175">
        <f t="shared" si="147"/>
        <v>0</v>
      </c>
      <c r="O416" s="175">
        <f t="shared" si="147"/>
        <v>0</v>
      </c>
      <c r="P416" s="175">
        <f t="shared" si="147"/>
        <v>0</v>
      </c>
    </row>
    <row r="417" spans="1:16" ht="22.5">
      <c r="A417" s="609"/>
      <c r="B417" s="572"/>
      <c r="C417" s="572"/>
      <c r="D417" s="609"/>
      <c r="E417" s="611"/>
      <c r="F417" s="178" t="s">
        <v>123</v>
      </c>
      <c r="G417" s="177">
        <f t="shared" si="144"/>
        <v>0</v>
      </c>
      <c r="H417" s="177" t="s">
        <v>182</v>
      </c>
      <c r="I417" s="177" t="s">
        <v>182</v>
      </c>
      <c r="J417" s="220" t="s">
        <v>182</v>
      </c>
      <c r="K417" s="175">
        <v>0</v>
      </c>
      <c r="L417" s="175">
        <v>0</v>
      </c>
      <c r="M417" s="175">
        <v>0</v>
      </c>
      <c r="N417" s="175">
        <v>0</v>
      </c>
      <c r="O417" s="175">
        <v>0</v>
      </c>
      <c r="P417" s="175">
        <v>0</v>
      </c>
    </row>
    <row r="418" spans="1:16" ht="22.5">
      <c r="A418" s="609"/>
      <c r="B418" s="572"/>
      <c r="C418" s="572"/>
      <c r="D418" s="609"/>
      <c r="E418" s="611"/>
      <c r="F418" s="178" t="s">
        <v>147</v>
      </c>
      <c r="G418" s="177">
        <f t="shared" si="144"/>
        <v>0</v>
      </c>
      <c r="H418" s="177" t="s">
        <v>182</v>
      </c>
      <c r="I418" s="177" t="s">
        <v>182</v>
      </c>
      <c r="J418" s="220" t="s">
        <v>182</v>
      </c>
      <c r="K418" s="175">
        <v>0</v>
      </c>
      <c r="L418" s="175">
        <v>0</v>
      </c>
      <c r="M418" s="175">
        <v>0</v>
      </c>
      <c r="N418" s="175">
        <v>0</v>
      </c>
      <c r="O418" s="175">
        <v>0</v>
      </c>
      <c r="P418" s="175">
        <v>0</v>
      </c>
    </row>
    <row r="419" spans="1:16" ht="22.5">
      <c r="A419" s="609"/>
      <c r="B419" s="572"/>
      <c r="C419" s="572"/>
      <c r="D419" s="609"/>
      <c r="E419" s="611"/>
      <c r="F419" s="178" t="s">
        <v>264</v>
      </c>
      <c r="G419" s="177">
        <f t="shared" si="144"/>
        <v>0</v>
      </c>
      <c r="H419" s="177" t="s">
        <v>182</v>
      </c>
      <c r="I419" s="177" t="s">
        <v>182</v>
      </c>
      <c r="J419" s="220" t="s">
        <v>182</v>
      </c>
      <c r="K419" s="175">
        <v>0</v>
      </c>
      <c r="L419" s="175">
        <v>0</v>
      </c>
      <c r="M419" s="175">
        <v>0</v>
      </c>
      <c r="N419" s="175">
        <v>0</v>
      </c>
      <c r="O419" s="175">
        <v>0</v>
      </c>
      <c r="P419" s="175">
        <v>0</v>
      </c>
    </row>
    <row r="420" spans="1:16">
      <c r="A420" s="609"/>
      <c r="B420" s="572"/>
      <c r="C420" s="572"/>
      <c r="D420" s="609"/>
      <c r="E420" s="611"/>
      <c r="F420" s="178" t="s">
        <v>265</v>
      </c>
      <c r="G420" s="177">
        <f t="shared" si="144"/>
        <v>0</v>
      </c>
      <c r="H420" s="177" t="s">
        <v>182</v>
      </c>
      <c r="I420" s="177" t="s">
        <v>182</v>
      </c>
      <c r="J420" s="220" t="s">
        <v>182</v>
      </c>
      <c r="K420" s="175">
        <v>0</v>
      </c>
      <c r="L420" s="175">
        <v>0</v>
      </c>
      <c r="M420" s="175">
        <v>0</v>
      </c>
      <c r="N420" s="175">
        <v>0</v>
      </c>
      <c r="O420" s="175">
        <v>0</v>
      </c>
      <c r="P420" s="175">
        <v>0</v>
      </c>
    </row>
    <row r="421" spans="1:16" ht="22.5">
      <c r="A421" s="613"/>
      <c r="B421" s="580"/>
      <c r="C421" s="580"/>
      <c r="D421" s="613"/>
      <c r="E421" s="612"/>
      <c r="F421" s="178" t="s">
        <v>233</v>
      </c>
      <c r="G421" s="177">
        <f t="shared" si="144"/>
        <v>0</v>
      </c>
      <c r="H421" s="177" t="s">
        <v>182</v>
      </c>
      <c r="I421" s="177" t="s">
        <v>182</v>
      </c>
      <c r="J421" s="220" t="s">
        <v>182</v>
      </c>
      <c r="K421" s="175">
        <f t="shared" ref="K421:P421" si="148">K416</f>
        <v>0</v>
      </c>
      <c r="L421" s="175">
        <f t="shared" si="148"/>
        <v>0</v>
      </c>
      <c r="M421" s="175">
        <f t="shared" si="148"/>
        <v>0</v>
      </c>
      <c r="N421" s="175">
        <f t="shared" si="148"/>
        <v>0</v>
      </c>
      <c r="O421" s="175">
        <f t="shared" si="148"/>
        <v>0</v>
      </c>
      <c r="P421" s="175">
        <f t="shared" si="148"/>
        <v>0</v>
      </c>
    </row>
    <row r="422" spans="1:16">
      <c r="A422" s="608" t="s">
        <v>83</v>
      </c>
      <c r="B422" s="571" t="s">
        <v>144</v>
      </c>
      <c r="C422" s="571" t="s">
        <v>28</v>
      </c>
      <c r="D422" s="608" t="s">
        <v>307</v>
      </c>
      <c r="E422" s="610" t="s">
        <v>266</v>
      </c>
      <c r="F422" s="178" t="s">
        <v>50</v>
      </c>
      <c r="G422" s="177">
        <f t="shared" si="144"/>
        <v>0</v>
      </c>
      <c r="H422" s="177" t="s">
        <v>182</v>
      </c>
      <c r="I422" s="177" t="s">
        <v>182</v>
      </c>
      <c r="J422" s="220" t="s">
        <v>182</v>
      </c>
      <c r="K422" s="175">
        <f t="shared" ref="K422:P422" si="149">K423+K424+K427+K428</f>
        <v>0</v>
      </c>
      <c r="L422" s="175">
        <f t="shared" si="149"/>
        <v>0</v>
      </c>
      <c r="M422" s="175">
        <f t="shared" si="149"/>
        <v>0</v>
      </c>
      <c r="N422" s="175">
        <f t="shared" si="149"/>
        <v>0</v>
      </c>
      <c r="O422" s="175">
        <f t="shared" si="149"/>
        <v>0</v>
      </c>
      <c r="P422" s="175">
        <f t="shared" si="149"/>
        <v>0</v>
      </c>
    </row>
    <row r="423" spans="1:16">
      <c r="A423" s="609"/>
      <c r="B423" s="572"/>
      <c r="C423" s="572"/>
      <c r="D423" s="609"/>
      <c r="E423" s="611"/>
      <c r="F423" s="178" t="s">
        <v>124</v>
      </c>
      <c r="G423" s="177">
        <f t="shared" si="144"/>
        <v>0</v>
      </c>
      <c r="H423" s="177" t="s">
        <v>182</v>
      </c>
      <c r="I423" s="177" t="s">
        <v>182</v>
      </c>
      <c r="J423" s="220" t="s">
        <v>182</v>
      </c>
      <c r="K423" s="175">
        <v>0</v>
      </c>
      <c r="L423" s="175">
        <v>0</v>
      </c>
      <c r="M423" s="175">
        <v>0</v>
      </c>
      <c r="N423" s="175">
        <v>0</v>
      </c>
      <c r="O423" s="175">
        <v>0</v>
      </c>
      <c r="P423" s="175">
        <v>0</v>
      </c>
    </row>
    <row r="424" spans="1:16" ht="22.5">
      <c r="A424" s="609"/>
      <c r="B424" s="572"/>
      <c r="C424" s="572"/>
      <c r="D424" s="609"/>
      <c r="E424" s="611"/>
      <c r="F424" s="178" t="s">
        <v>148</v>
      </c>
      <c r="G424" s="177">
        <f t="shared" si="144"/>
        <v>0</v>
      </c>
      <c r="H424" s="177" t="s">
        <v>182</v>
      </c>
      <c r="I424" s="177" t="s">
        <v>182</v>
      </c>
      <c r="J424" s="220" t="s">
        <v>182</v>
      </c>
      <c r="K424" s="175">
        <f t="shared" ref="K424:P424" si="150">K425+K426</f>
        <v>0</v>
      </c>
      <c r="L424" s="175">
        <f t="shared" si="150"/>
        <v>0</v>
      </c>
      <c r="M424" s="175">
        <f t="shared" si="150"/>
        <v>0</v>
      </c>
      <c r="N424" s="175">
        <f t="shared" si="150"/>
        <v>0</v>
      </c>
      <c r="O424" s="175">
        <f t="shared" si="150"/>
        <v>0</v>
      </c>
      <c r="P424" s="175">
        <f t="shared" si="150"/>
        <v>0</v>
      </c>
    </row>
    <row r="425" spans="1:16" ht="22.5">
      <c r="A425" s="609"/>
      <c r="B425" s="572"/>
      <c r="C425" s="572"/>
      <c r="D425" s="609"/>
      <c r="E425" s="611"/>
      <c r="F425" s="178" t="s">
        <v>123</v>
      </c>
      <c r="G425" s="177">
        <f t="shared" si="144"/>
        <v>0</v>
      </c>
      <c r="H425" s="177" t="s">
        <v>182</v>
      </c>
      <c r="I425" s="177" t="s">
        <v>182</v>
      </c>
      <c r="J425" s="220" t="s">
        <v>182</v>
      </c>
      <c r="K425" s="175">
        <v>0</v>
      </c>
      <c r="L425" s="175">
        <v>0</v>
      </c>
      <c r="M425" s="175">
        <v>0</v>
      </c>
      <c r="N425" s="175">
        <v>0</v>
      </c>
      <c r="O425" s="175">
        <v>0</v>
      </c>
      <c r="P425" s="175">
        <v>0</v>
      </c>
    </row>
    <row r="426" spans="1:16" ht="22.5">
      <c r="A426" s="609"/>
      <c r="B426" s="572"/>
      <c r="C426" s="572"/>
      <c r="D426" s="609"/>
      <c r="E426" s="611"/>
      <c r="F426" s="178" t="s">
        <v>147</v>
      </c>
      <c r="G426" s="177">
        <f>K426+L426+M426</f>
        <v>0</v>
      </c>
      <c r="H426" s="177" t="s">
        <v>182</v>
      </c>
      <c r="I426" s="177" t="s">
        <v>182</v>
      </c>
      <c r="J426" s="220" t="s">
        <v>182</v>
      </c>
      <c r="K426" s="175">
        <v>0</v>
      </c>
      <c r="L426" s="175">
        <v>0</v>
      </c>
      <c r="M426" s="175">
        <v>0</v>
      </c>
      <c r="N426" s="175">
        <v>0</v>
      </c>
      <c r="O426" s="175">
        <v>0</v>
      </c>
      <c r="P426" s="175">
        <v>0</v>
      </c>
    </row>
    <row r="427" spans="1:16" ht="22.5">
      <c r="A427" s="609"/>
      <c r="B427" s="572"/>
      <c r="C427" s="572"/>
      <c r="D427" s="609"/>
      <c r="E427" s="611"/>
      <c r="F427" s="178" t="s">
        <v>264</v>
      </c>
      <c r="G427" s="177">
        <f t="shared" ref="G427:G444" si="151">K427+L427+M427</f>
        <v>0</v>
      </c>
      <c r="H427" s="177" t="s">
        <v>182</v>
      </c>
      <c r="I427" s="177" t="s">
        <v>182</v>
      </c>
      <c r="J427" s="220" t="s">
        <v>182</v>
      </c>
      <c r="K427" s="175">
        <v>0</v>
      </c>
      <c r="L427" s="175">
        <v>0</v>
      </c>
      <c r="M427" s="175">
        <v>0</v>
      </c>
      <c r="N427" s="175">
        <v>0</v>
      </c>
      <c r="O427" s="175">
        <v>0</v>
      </c>
      <c r="P427" s="175">
        <v>0</v>
      </c>
    </row>
    <row r="428" spans="1:16">
      <c r="A428" s="609"/>
      <c r="B428" s="572"/>
      <c r="C428" s="572"/>
      <c r="D428" s="609"/>
      <c r="E428" s="611"/>
      <c r="F428" s="178" t="s">
        <v>265</v>
      </c>
      <c r="G428" s="177">
        <f t="shared" si="151"/>
        <v>0</v>
      </c>
      <c r="H428" s="177" t="s">
        <v>182</v>
      </c>
      <c r="I428" s="177" t="s">
        <v>182</v>
      </c>
      <c r="J428" s="220" t="s">
        <v>182</v>
      </c>
      <c r="K428" s="175">
        <v>0</v>
      </c>
      <c r="L428" s="175">
        <v>0</v>
      </c>
      <c r="M428" s="175">
        <v>0</v>
      </c>
      <c r="N428" s="175">
        <v>0</v>
      </c>
      <c r="O428" s="175">
        <v>0</v>
      </c>
      <c r="P428" s="175">
        <v>0</v>
      </c>
    </row>
    <row r="429" spans="1:16" ht="22.5">
      <c r="A429" s="613"/>
      <c r="B429" s="580"/>
      <c r="C429" s="580"/>
      <c r="D429" s="613"/>
      <c r="E429" s="612"/>
      <c r="F429" s="178" t="s">
        <v>260</v>
      </c>
      <c r="G429" s="177">
        <f t="shared" si="151"/>
        <v>0</v>
      </c>
      <c r="H429" s="177" t="s">
        <v>182</v>
      </c>
      <c r="I429" s="177" t="s">
        <v>182</v>
      </c>
      <c r="J429" s="220" t="s">
        <v>182</v>
      </c>
      <c r="K429" s="175">
        <f t="shared" ref="K429:P429" si="152">K424</f>
        <v>0</v>
      </c>
      <c r="L429" s="175">
        <f t="shared" si="152"/>
        <v>0</v>
      </c>
      <c r="M429" s="175">
        <f t="shared" si="152"/>
        <v>0</v>
      </c>
      <c r="N429" s="175">
        <f t="shared" si="152"/>
        <v>0</v>
      </c>
      <c r="O429" s="175">
        <f t="shared" si="152"/>
        <v>0</v>
      </c>
      <c r="P429" s="175">
        <f t="shared" si="152"/>
        <v>0</v>
      </c>
    </row>
    <row r="430" spans="1:16" ht="15" customHeight="1">
      <c r="A430" s="608" t="s">
        <v>83</v>
      </c>
      <c r="B430" s="571" t="s">
        <v>144</v>
      </c>
      <c r="C430" s="571" t="s">
        <v>28</v>
      </c>
      <c r="D430" s="608" t="s">
        <v>308</v>
      </c>
      <c r="E430" s="610" t="s">
        <v>341</v>
      </c>
      <c r="F430" s="178" t="s">
        <v>50</v>
      </c>
      <c r="G430" s="177">
        <f t="shared" ref="G430:G436" si="153">K430+L430+M430</f>
        <v>0</v>
      </c>
      <c r="H430" s="177" t="s">
        <v>182</v>
      </c>
      <c r="I430" s="177" t="s">
        <v>182</v>
      </c>
      <c r="J430" s="220" t="s">
        <v>182</v>
      </c>
      <c r="K430" s="175">
        <f t="shared" ref="K430:P430" si="154">K431+K432+K435+K436</f>
        <v>0</v>
      </c>
      <c r="L430" s="175">
        <f t="shared" si="154"/>
        <v>0</v>
      </c>
      <c r="M430" s="175">
        <f t="shared" si="154"/>
        <v>0</v>
      </c>
      <c r="N430" s="175">
        <f t="shared" si="154"/>
        <v>0</v>
      </c>
      <c r="O430" s="175">
        <f t="shared" si="154"/>
        <v>0</v>
      </c>
      <c r="P430" s="175">
        <f t="shared" si="154"/>
        <v>0</v>
      </c>
    </row>
    <row r="431" spans="1:16">
      <c r="A431" s="609"/>
      <c r="B431" s="572"/>
      <c r="C431" s="572"/>
      <c r="D431" s="609"/>
      <c r="E431" s="611"/>
      <c r="F431" s="178" t="s">
        <v>124</v>
      </c>
      <c r="G431" s="177">
        <f t="shared" si="153"/>
        <v>0</v>
      </c>
      <c r="H431" s="177" t="s">
        <v>182</v>
      </c>
      <c r="I431" s="177" t="s">
        <v>182</v>
      </c>
      <c r="J431" s="220" t="s">
        <v>182</v>
      </c>
      <c r="K431" s="175">
        <v>0</v>
      </c>
      <c r="L431" s="175">
        <v>0</v>
      </c>
      <c r="M431" s="175">
        <v>0</v>
      </c>
      <c r="N431" s="175">
        <v>0</v>
      </c>
      <c r="O431" s="175">
        <v>0</v>
      </c>
      <c r="P431" s="175">
        <v>0</v>
      </c>
    </row>
    <row r="432" spans="1:16" ht="22.5">
      <c r="A432" s="609"/>
      <c r="B432" s="572"/>
      <c r="C432" s="572"/>
      <c r="D432" s="609"/>
      <c r="E432" s="611"/>
      <c r="F432" s="178" t="s">
        <v>148</v>
      </c>
      <c r="G432" s="177">
        <f t="shared" si="153"/>
        <v>0</v>
      </c>
      <c r="H432" s="177" t="s">
        <v>182</v>
      </c>
      <c r="I432" s="177" t="s">
        <v>182</v>
      </c>
      <c r="J432" s="220" t="s">
        <v>182</v>
      </c>
      <c r="K432" s="175">
        <f t="shared" ref="K432:P432" si="155">K433+K434</f>
        <v>0</v>
      </c>
      <c r="L432" s="175">
        <f t="shared" si="155"/>
        <v>0</v>
      </c>
      <c r="M432" s="175">
        <f t="shared" si="155"/>
        <v>0</v>
      </c>
      <c r="N432" s="175">
        <f t="shared" si="155"/>
        <v>0</v>
      </c>
      <c r="O432" s="175">
        <f t="shared" si="155"/>
        <v>0</v>
      </c>
      <c r="P432" s="175">
        <f t="shared" si="155"/>
        <v>0</v>
      </c>
    </row>
    <row r="433" spans="1:16" ht="22.5">
      <c r="A433" s="609"/>
      <c r="B433" s="572"/>
      <c r="C433" s="572"/>
      <c r="D433" s="609"/>
      <c r="E433" s="611"/>
      <c r="F433" s="178" t="s">
        <v>123</v>
      </c>
      <c r="G433" s="177">
        <f t="shared" si="153"/>
        <v>0</v>
      </c>
      <c r="H433" s="177" t="s">
        <v>182</v>
      </c>
      <c r="I433" s="177" t="s">
        <v>182</v>
      </c>
      <c r="J433" s="220" t="s">
        <v>182</v>
      </c>
      <c r="K433" s="175">
        <v>0</v>
      </c>
      <c r="L433" s="175">
        <v>0</v>
      </c>
      <c r="M433" s="175">
        <v>0</v>
      </c>
      <c r="N433" s="175">
        <v>0</v>
      </c>
      <c r="O433" s="175">
        <v>0</v>
      </c>
      <c r="P433" s="175">
        <v>0</v>
      </c>
    </row>
    <row r="434" spans="1:16" ht="22.5">
      <c r="A434" s="609"/>
      <c r="B434" s="572"/>
      <c r="C434" s="572"/>
      <c r="D434" s="609"/>
      <c r="E434" s="611"/>
      <c r="F434" s="178" t="s">
        <v>147</v>
      </c>
      <c r="G434" s="177">
        <f t="shared" si="153"/>
        <v>0</v>
      </c>
      <c r="H434" s="177" t="s">
        <v>182</v>
      </c>
      <c r="I434" s="177" t="s">
        <v>182</v>
      </c>
      <c r="J434" s="220" t="s">
        <v>182</v>
      </c>
      <c r="K434" s="175">
        <v>0</v>
      </c>
      <c r="L434" s="175">
        <v>0</v>
      </c>
      <c r="M434" s="175">
        <v>0</v>
      </c>
      <c r="N434" s="175">
        <v>0</v>
      </c>
      <c r="O434" s="175">
        <v>0</v>
      </c>
      <c r="P434" s="175">
        <v>0</v>
      </c>
    </row>
    <row r="435" spans="1:16" ht="14.25" customHeight="1">
      <c r="A435" s="609"/>
      <c r="B435" s="572"/>
      <c r="C435" s="572"/>
      <c r="D435" s="609"/>
      <c r="E435" s="611"/>
      <c r="F435" s="178" t="s">
        <v>264</v>
      </c>
      <c r="G435" s="177">
        <f t="shared" si="153"/>
        <v>0</v>
      </c>
      <c r="H435" s="177" t="s">
        <v>182</v>
      </c>
      <c r="I435" s="177" t="s">
        <v>182</v>
      </c>
      <c r="J435" s="220" t="s">
        <v>182</v>
      </c>
      <c r="K435" s="175">
        <v>0</v>
      </c>
      <c r="L435" s="175">
        <v>0</v>
      </c>
      <c r="M435" s="175">
        <v>0</v>
      </c>
      <c r="N435" s="175">
        <v>0</v>
      </c>
      <c r="O435" s="175">
        <v>0</v>
      </c>
      <c r="P435" s="175">
        <v>0</v>
      </c>
    </row>
    <row r="436" spans="1:16">
      <c r="A436" s="609"/>
      <c r="B436" s="572"/>
      <c r="C436" s="572"/>
      <c r="D436" s="609"/>
      <c r="E436" s="611"/>
      <c r="F436" s="178" t="s">
        <v>265</v>
      </c>
      <c r="G436" s="177">
        <f t="shared" si="153"/>
        <v>0</v>
      </c>
      <c r="H436" s="177" t="s">
        <v>182</v>
      </c>
      <c r="I436" s="177" t="s">
        <v>182</v>
      </c>
      <c r="J436" s="220" t="s">
        <v>182</v>
      </c>
      <c r="K436" s="175">
        <v>0</v>
      </c>
      <c r="L436" s="175">
        <v>0</v>
      </c>
      <c r="M436" s="175">
        <v>0</v>
      </c>
      <c r="N436" s="175">
        <v>0</v>
      </c>
      <c r="O436" s="175">
        <v>0</v>
      </c>
      <c r="P436" s="175">
        <v>0</v>
      </c>
    </row>
    <row r="437" spans="1:16" ht="22.5">
      <c r="A437" s="613"/>
      <c r="B437" s="580"/>
      <c r="C437" s="580"/>
      <c r="D437" s="613"/>
      <c r="E437" s="612"/>
      <c r="F437" s="178" t="s">
        <v>260</v>
      </c>
      <c r="G437" s="177">
        <f>K437+L437+M437</f>
        <v>0</v>
      </c>
      <c r="H437" s="177" t="s">
        <v>182</v>
      </c>
      <c r="I437" s="177" t="s">
        <v>182</v>
      </c>
      <c r="J437" s="220" t="s">
        <v>182</v>
      </c>
      <c r="K437" s="175">
        <f t="shared" ref="K437:P437" si="156">K432</f>
        <v>0</v>
      </c>
      <c r="L437" s="175">
        <f t="shared" si="156"/>
        <v>0</v>
      </c>
      <c r="M437" s="175">
        <f t="shared" si="156"/>
        <v>0</v>
      </c>
      <c r="N437" s="175">
        <f t="shared" si="156"/>
        <v>0</v>
      </c>
      <c r="O437" s="175">
        <f t="shared" si="156"/>
        <v>0</v>
      </c>
      <c r="P437" s="175">
        <f t="shared" si="156"/>
        <v>0</v>
      </c>
    </row>
    <row r="438" spans="1:16" ht="15" customHeight="1">
      <c r="A438" s="608" t="s">
        <v>83</v>
      </c>
      <c r="B438" s="571" t="s">
        <v>144</v>
      </c>
      <c r="C438" s="571" t="s">
        <v>28</v>
      </c>
      <c r="D438" s="608" t="s">
        <v>309</v>
      </c>
      <c r="E438" s="610" t="s">
        <v>268</v>
      </c>
      <c r="F438" s="178" t="s">
        <v>50</v>
      </c>
      <c r="G438" s="177">
        <f t="shared" si="151"/>
        <v>0</v>
      </c>
      <c r="H438" s="177" t="s">
        <v>182</v>
      </c>
      <c r="I438" s="177" t="s">
        <v>182</v>
      </c>
      <c r="J438" s="220" t="s">
        <v>182</v>
      </c>
      <c r="K438" s="175">
        <f t="shared" ref="K438:P438" si="157">K439+K440+K443+K444</f>
        <v>0</v>
      </c>
      <c r="L438" s="175">
        <f t="shared" si="157"/>
        <v>0</v>
      </c>
      <c r="M438" s="175">
        <f t="shared" si="157"/>
        <v>0</v>
      </c>
      <c r="N438" s="175">
        <f t="shared" si="157"/>
        <v>0</v>
      </c>
      <c r="O438" s="175">
        <f t="shared" si="157"/>
        <v>0</v>
      </c>
      <c r="P438" s="175">
        <f t="shared" si="157"/>
        <v>0</v>
      </c>
    </row>
    <row r="439" spans="1:16">
      <c r="A439" s="609"/>
      <c r="B439" s="572"/>
      <c r="C439" s="572"/>
      <c r="D439" s="609"/>
      <c r="E439" s="611"/>
      <c r="F439" s="178" t="s">
        <v>124</v>
      </c>
      <c r="G439" s="177">
        <f t="shared" si="151"/>
        <v>0</v>
      </c>
      <c r="H439" s="177" t="s">
        <v>182</v>
      </c>
      <c r="I439" s="177" t="s">
        <v>182</v>
      </c>
      <c r="J439" s="220" t="s">
        <v>182</v>
      </c>
      <c r="K439" s="175">
        <v>0</v>
      </c>
      <c r="L439" s="175">
        <v>0</v>
      </c>
      <c r="M439" s="175">
        <v>0</v>
      </c>
      <c r="N439" s="175">
        <v>0</v>
      </c>
      <c r="O439" s="175">
        <v>0</v>
      </c>
      <c r="P439" s="175">
        <v>0</v>
      </c>
    </row>
    <row r="440" spans="1:16" ht="22.5">
      <c r="A440" s="609"/>
      <c r="B440" s="572"/>
      <c r="C440" s="572"/>
      <c r="D440" s="609"/>
      <c r="E440" s="611"/>
      <c r="F440" s="178" t="s">
        <v>148</v>
      </c>
      <c r="G440" s="177">
        <f t="shared" si="151"/>
        <v>0</v>
      </c>
      <c r="H440" s="177" t="s">
        <v>182</v>
      </c>
      <c r="I440" s="177" t="s">
        <v>182</v>
      </c>
      <c r="J440" s="220" t="s">
        <v>182</v>
      </c>
      <c r="K440" s="175">
        <f t="shared" ref="K440:P440" si="158">K441+K442</f>
        <v>0</v>
      </c>
      <c r="L440" s="175">
        <f t="shared" si="158"/>
        <v>0</v>
      </c>
      <c r="M440" s="175">
        <f t="shared" si="158"/>
        <v>0</v>
      </c>
      <c r="N440" s="175">
        <f t="shared" si="158"/>
        <v>0</v>
      </c>
      <c r="O440" s="175">
        <f t="shared" si="158"/>
        <v>0</v>
      </c>
      <c r="P440" s="175">
        <f t="shared" si="158"/>
        <v>0</v>
      </c>
    </row>
    <row r="441" spans="1:16" ht="22.5">
      <c r="A441" s="609"/>
      <c r="B441" s="572"/>
      <c r="C441" s="572"/>
      <c r="D441" s="609"/>
      <c r="E441" s="611"/>
      <c r="F441" s="178" t="s">
        <v>123</v>
      </c>
      <c r="G441" s="177">
        <f t="shared" si="151"/>
        <v>0</v>
      </c>
      <c r="H441" s="177" t="s">
        <v>182</v>
      </c>
      <c r="I441" s="177" t="s">
        <v>182</v>
      </c>
      <c r="J441" s="220" t="s">
        <v>182</v>
      </c>
      <c r="K441" s="175">
        <v>0</v>
      </c>
      <c r="L441" s="175">
        <v>0</v>
      </c>
      <c r="M441" s="175">
        <v>0</v>
      </c>
      <c r="N441" s="175">
        <v>0</v>
      </c>
      <c r="O441" s="175">
        <v>0</v>
      </c>
      <c r="P441" s="175">
        <v>0</v>
      </c>
    </row>
    <row r="442" spans="1:16" ht="22.5">
      <c r="A442" s="609"/>
      <c r="B442" s="572"/>
      <c r="C442" s="572"/>
      <c r="D442" s="609"/>
      <c r="E442" s="611"/>
      <c r="F442" s="178" t="s">
        <v>147</v>
      </c>
      <c r="G442" s="177">
        <f t="shared" si="151"/>
        <v>0</v>
      </c>
      <c r="H442" s="177" t="s">
        <v>182</v>
      </c>
      <c r="I442" s="177" t="s">
        <v>182</v>
      </c>
      <c r="J442" s="220" t="s">
        <v>182</v>
      </c>
      <c r="K442" s="175">
        <v>0</v>
      </c>
      <c r="L442" s="175">
        <v>0</v>
      </c>
      <c r="M442" s="175">
        <v>0</v>
      </c>
      <c r="N442" s="175">
        <v>0</v>
      </c>
      <c r="O442" s="175">
        <v>0</v>
      </c>
      <c r="P442" s="175">
        <v>0</v>
      </c>
    </row>
    <row r="443" spans="1:16" ht="22.5">
      <c r="A443" s="609"/>
      <c r="B443" s="572"/>
      <c r="C443" s="572"/>
      <c r="D443" s="609"/>
      <c r="E443" s="611"/>
      <c r="F443" s="178" t="s">
        <v>264</v>
      </c>
      <c r="G443" s="177">
        <f t="shared" si="151"/>
        <v>0</v>
      </c>
      <c r="H443" s="177" t="s">
        <v>182</v>
      </c>
      <c r="I443" s="177" t="s">
        <v>182</v>
      </c>
      <c r="J443" s="220" t="s">
        <v>182</v>
      </c>
      <c r="K443" s="175">
        <v>0</v>
      </c>
      <c r="L443" s="175">
        <v>0</v>
      </c>
      <c r="M443" s="175">
        <v>0</v>
      </c>
      <c r="N443" s="175">
        <v>0</v>
      </c>
      <c r="O443" s="175">
        <v>0</v>
      </c>
      <c r="P443" s="175">
        <v>0</v>
      </c>
    </row>
    <row r="444" spans="1:16">
      <c r="A444" s="609"/>
      <c r="B444" s="572"/>
      <c r="C444" s="572"/>
      <c r="D444" s="609"/>
      <c r="E444" s="611"/>
      <c r="F444" s="178" t="s">
        <v>265</v>
      </c>
      <c r="G444" s="177">
        <f t="shared" si="151"/>
        <v>0</v>
      </c>
      <c r="H444" s="177" t="s">
        <v>182</v>
      </c>
      <c r="I444" s="177" t="s">
        <v>182</v>
      </c>
      <c r="J444" s="220" t="s">
        <v>182</v>
      </c>
      <c r="K444" s="175">
        <v>0</v>
      </c>
      <c r="L444" s="175">
        <v>0</v>
      </c>
      <c r="M444" s="175">
        <v>0</v>
      </c>
      <c r="N444" s="175">
        <v>0</v>
      </c>
      <c r="O444" s="175">
        <v>0</v>
      </c>
      <c r="P444" s="175">
        <v>0</v>
      </c>
    </row>
    <row r="445" spans="1:16" ht="22.5">
      <c r="A445" s="613"/>
      <c r="B445" s="580"/>
      <c r="C445" s="580"/>
      <c r="D445" s="613"/>
      <c r="E445" s="612"/>
      <c r="F445" s="178" t="s">
        <v>260</v>
      </c>
      <c r="G445" s="177">
        <f>K445+L445+M445</f>
        <v>0</v>
      </c>
      <c r="H445" s="177" t="s">
        <v>182</v>
      </c>
      <c r="I445" s="177" t="s">
        <v>182</v>
      </c>
      <c r="J445" s="220" t="s">
        <v>182</v>
      </c>
      <c r="K445" s="175">
        <f t="shared" ref="K445:P445" si="159">K440</f>
        <v>0</v>
      </c>
      <c r="L445" s="175">
        <f t="shared" si="159"/>
        <v>0</v>
      </c>
      <c r="M445" s="175">
        <f t="shared" si="159"/>
        <v>0</v>
      </c>
      <c r="N445" s="175">
        <f t="shared" si="159"/>
        <v>0</v>
      </c>
      <c r="O445" s="175">
        <f t="shared" si="159"/>
        <v>0</v>
      </c>
      <c r="P445" s="175">
        <f t="shared" si="159"/>
        <v>0</v>
      </c>
    </row>
    <row r="446" spans="1:16">
      <c r="A446" s="608" t="s">
        <v>83</v>
      </c>
      <c r="B446" s="571" t="s">
        <v>144</v>
      </c>
      <c r="C446" s="571" t="s">
        <v>28</v>
      </c>
      <c r="D446" s="608" t="s">
        <v>310</v>
      </c>
      <c r="E446" s="610" t="s">
        <v>270</v>
      </c>
      <c r="F446" s="178" t="s">
        <v>50</v>
      </c>
      <c r="G446" s="177">
        <f t="shared" ref="G446:G457" si="160">K446+L446+M446</f>
        <v>0</v>
      </c>
      <c r="H446" s="177" t="s">
        <v>182</v>
      </c>
      <c r="I446" s="177" t="s">
        <v>182</v>
      </c>
      <c r="J446" s="220" t="s">
        <v>182</v>
      </c>
      <c r="K446" s="175">
        <f t="shared" ref="K446:P446" si="161">K447+K448+K451+K452</f>
        <v>0</v>
      </c>
      <c r="L446" s="175">
        <f t="shared" si="161"/>
        <v>0</v>
      </c>
      <c r="M446" s="175">
        <f t="shared" si="161"/>
        <v>0</v>
      </c>
      <c r="N446" s="175">
        <f t="shared" si="161"/>
        <v>0</v>
      </c>
      <c r="O446" s="175">
        <f t="shared" si="161"/>
        <v>0</v>
      </c>
      <c r="P446" s="175">
        <f t="shared" si="161"/>
        <v>0</v>
      </c>
    </row>
    <row r="447" spans="1:16">
      <c r="A447" s="609"/>
      <c r="B447" s="572"/>
      <c r="C447" s="572"/>
      <c r="D447" s="609"/>
      <c r="E447" s="611"/>
      <c r="F447" s="178" t="s">
        <v>124</v>
      </c>
      <c r="G447" s="177">
        <f t="shared" si="160"/>
        <v>0</v>
      </c>
      <c r="H447" s="177" t="s">
        <v>182</v>
      </c>
      <c r="I447" s="177" t="s">
        <v>182</v>
      </c>
      <c r="J447" s="220" t="s">
        <v>182</v>
      </c>
      <c r="K447" s="175">
        <v>0</v>
      </c>
      <c r="L447" s="175">
        <v>0</v>
      </c>
      <c r="M447" s="175">
        <v>0</v>
      </c>
      <c r="N447" s="175">
        <v>0</v>
      </c>
      <c r="O447" s="175">
        <v>0</v>
      </c>
      <c r="P447" s="175">
        <v>0</v>
      </c>
    </row>
    <row r="448" spans="1:16" ht="22.5">
      <c r="A448" s="609"/>
      <c r="B448" s="572"/>
      <c r="C448" s="572"/>
      <c r="D448" s="609"/>
      <c r="E448" s="611"/>
      <c r="F448" s="178" t="s">
        <v>148</v>
      </c>
      <c r="G448" s="177">
        <f t="shared" si="160"/>
        <v>0</v>
      </c>
      <c r="H448" s="177" t="s">
        <v>182</v>
      </c>
      <c r="I448" s="177" t="s">
        <v>182</v>
      </c>
      <c r="J448" s="220" t="s">
        <v>182</v>
      </c>
      <c r="K448" s="175">
        <f t="shared" ref="K448:P448" si="162">K449+K450</f>
        <v>0</v>
      </c>
      <c r="L448" s="175">
        <f t="shared" si="162"/>
        <v>0</v>
      </c>
      <c r="M448" s="175">
        <f t="shared" si="162"/>
        <v>0</v>
      </c>
      <c r="N448" s="175">
        <f t="shared" si="162"/>
        <v>0</v>
      </c>
      <c r="O448" s="175">
        <f t="shared" si="162"/>
        <v>0</v>
      </c>
      <c r="P448" s="175">
        <f t="shared" si="162"/>
        <v>0</v>
      </c>
    </row>
    <row r="449" spans="1:16" ht="22.5">
      <c r="A449" s="609"/>
      <c r="B449" s="572"/>
      <c r="C449" s="572"/>
      <c r="D449" s="609"/>
      <c r="E449" s="611"/>
      <c r="F449" s="178" t="s">
        <v>123</v>
      </c>
      <c r="G449" s="177">
        <f t="shared" si="160"/>
        <v>0</v>
      </c>
      <c r="H449" s="177" t="s">
        <v>182</v>
      </c>
      <c r="I449" s="177" t="s">
        <v>182</v>
      </c>
      <c r="J449" s="220" t="s">
        <v>182</v>
      </c>
      <c r="K449" s="175">
        <v>0</v>
      </c>
      <c r="L449" s="175">
        <v>0</v>
      </c>
      <c r="M449" s="175">
        <v>0</v>
      </c>
      <c r="N449" s="175">
        <v>0</v>
      </c>
      <c r="O449" s="175">
        <v>0</v>
      </c>
      <c r="P449" s="175">
        <v>0</v>
      </c>
    </row>
    <row r="450" spans="1:16" ht="22.5">
      <c r="A450" s="609"/>
      <c r="B450" s="572"/>
      <c r="C450" s="572"/>
      <c r="D450" s="609"/>
      <c r="E450" s="611"/>
      <c r="F450" s="178" t="s">
        <v>147</v>
      </c>
      <c r="G450" s="177">
        <f t="shared" si="160"/>
        <v>0</v>
      </c>
      <c r="H450" s="177" t="s">
        <v>182</v>
      </c>
      <c r="I450" s="177" t="s">
        <v>182</v>
      </c>
      <c r="J450" s="220" t="s">
        <v>182</v>
      </c>
      <c r="K450" s="175">
        <v>0</v>
      </c>
      <c r="L450" s="175">
        <v>0</v>
      </c>
      <c r="M450" s="175">
        <v>0</v>
      </c>
      <c r="N450" s="175">
        <v>0</v>
      </c>
      <c r="O450" s="175">
        <v>0</v>
      </c>
      <c r="P450" s="175">
        <v>0</v>
      </c>
    </row>
    <row r="451" spans="1:16" ht="22.5">
      <c r="A451" s="609"/>
      <c r="B451" s="572"/>
      <c r="C451" s="572"/>
      <c r="D451" s="609"/>
      <c r="E451" s="611"/>
      <c r="F451" s="178" t="s">
        <v>264</v>
      </c>
      <c r="G451" s="177">
        <f t="shared" si="160"/>
        <v>0</v>
      </c>
      <c r="H451" s="177" t="s">
        <v>182</v>
      </c>
      <c r="I451" s="177" t="s">
        <v>182</v>
      </c>
      <c r="J451" s="220" t="s">
        <v>182</v>
      </c>
      <c r="K451" s="175">
        <v>0</v>
      </c>
      <c r="L451" s="175">
        <v>0</v>
      </c>
      <c r="M451" s="175">
        <v>0</v>
      </c>
      <c r="N451" s="175">
        <v>0</v>
      </c>
      <c r="O451" s="175">
        <v>0</v>
      </c>
      <c r="P451" s="175">
        <v>0</v>
      </c>
    </row>
    <row r="452" spans="1:16">
      <c r="A452" s="609"/>
      <c r="B452" s="572"/>
      <c r="C452" s="572"/>
      <c r="D452" s="609"/>
      <c r="E452" s="611"/>
      <c r="F452" s="178" t="s">
        <v>265</v>
      </c>
      <c r="G452" s="177">
        <f t="shared" si="160"/>
        <v>0</v>
      </c>
      <c r="H452" s="177" t="s">
        <v>182</v>
      </c>
      <c r="I452" s="177" t="s">
        <v>182</v>
      </c>
      <c r="J452" s="220" t="s">
        <v>182</v>
      </c>
      <c r="K452" s="175">
        <v>0</v>
      </c>
      <c r="L452" s="175">
        <v>0</v>
      </c>
      <c r="M452" s="175">
        <v>0</v>
      </c>
      <c r="N452" s="175">
        <v>0</v>
      </c>
      <c r="O452" s="175">
        <v>0</v>
      </c>
      <c r="P452" s="175">
        <v>0</v>
      </c>
    </row>
    <row r="453" spans="1:16" ht="22.5">
      <c r="A453" s="613"/>
      <c r="B453" s="580"/>
      <c r="C453" s="580"/>
      <c r="D453" s="613"/>
      <c r="E453" s="612"/>
      <c r="F453" s="178" t="s">
        <v>260</v>
      </c>
      <c r="G453" s="177">
        <f t="shared" si="160"/>
        <v>0</v>
      </c>
      <c r="H453" s="177" t="s">
        <v>182</v>
      </c>
      <c r="I453" s="177" t="s">
        <v>182</v>
      </c>
      <c r="J453" s="220" t="s">
        <v>182</v>
      </c>
      <c r="K453" s="175">
        <f t="shared" ref="K453:P453" si="163">K448</f>
        <v>0</v>
      </c>
      <c r="L453" s="175">
        <f t="shared" si="163"/>
        <v>0</v>
      </c>
      <c r="M453" s="175">
        <f t="shared" si="163"/>
        <v>0</v>
      </c>
      <c r="N453" s="175">
        <f t="shared" si="163"/>
        <v>0</v>
      </c>
      <c r="O453" s="175">
        <f t="shared" si="163"/>
        <v>0</v>
      </c>
      <c r="P453" s="175">
        <f t="shared" si="163"/>
        <v>0</v>
      </c>
    </row>
    <row r="454" spans="1:16">
      <c r="A454" s="608" t="s">
        <v>83</v>
      </c>
      <c r="B454" s="571" t="s">
        <v>144</v>
      </c>
      <c r="C454" s="571" t="s">
        <v>28</v>
      </c>
      <c r="D454" s="608" t="s">
        <v>311</v>
      </c>
      <c r="E454" s="610" t="s">
        <v>267</v>
      </c>
      <c r="F454" s="178" t="s">
        <v>50</v>
      </c>
      <c r="G454" s="177">
        <f t="shared" si="160"/>
        <v>0</v>
      </c>
      <c r="H454" s="177" t="s">
        <v>182</v>
      </c>
      <c r="I454" s="177" t="s">
        <v>182</v>
      </c>
      <c r="J454" s="220" t="s">
        <v>182</v>
      </c>
      <c r="K454" s="175">
        <f t="shared" ref="K454:P454" si="164">K455+K456+K459+K460</f>
        <v>0</v>
      </c>
      <c r="L454" s="175">
        <f t="shared" si="164"/>
        <v>0</v>
      </c>
      <c r="M454" s="175">
        <f t="shared" si="164"/>
        <v>0</v>
      </c>
      <c r="N454" s="175">
        <f t="shared" si="164"/>
        <v>0</v>
      </c>
      <c r="O454" s="175">
        <f t="shared" si="164"/>
        <v>0</v>
      </c>
      <c r="P454" s="175">
        <f t="shared" si="164"/>
        <v>0</v>
      </c>
    </row>
    <row r="455" spans="1:16">
      <c r="A455" s="609"/>
      <c r="B455" s="572"/>
      <c r="C455" s="572"/>
      <c r="D455" s="609"/>
      <c r="E455" s="611"/>
      <c r="F455" s="178" t="s">
        <v>124</v>
      </c>
      <c r="G455" s="177">
        <f t="shared" si="160"/>
        <v>0</v>
      </c>
      <c r="H455" s="177" t="s">
        <v>182</v>
      </c>
      <c r="I455" s="177" t="s">
        <v>182</v>
      </c>
      <c r="J455" s="220" t="s">
        <v>182</v>
      </c>
      <c r="K455" s="175">
        <f>K457/19*81</f>
        <v>0</v>
      </c>
      <c r="L455" s="175">
        <v>0</v>
      </c>
      <c r="M455" s="175">
        <v>0</v>
      </c>
      <c r="N455" s="175">
        <v>0</v>
      </c>
      <c r="O455" s="175">
        <v>0</v>
      </c>
      <c r="P455" s="175">
        <v>0</v>
      </c>
    </row>
    <row r="456" spans="1:16" ht="22.5">
      <c r="A456" s="609"/>
      <c r="B456" s="572"/>
      <c r="C456" s="572"/>
      <c r="D456" s="609"/>
      <c r="E456" s="611"/>
      <c r="F456" s="178" t="s">
        <v>148</v>
      </c>
      <c r="G456" s="177">
        <f t="shared" si="160"/>
        <v>0</v>
      </c>
      <c r="H456" s="177" t="s">
        <v>182</v>
      </c>
      <c r="I456" s="177" t="s">
        <v>182</v>
      </c>
      <c r="J456" s="220" t="s">
        <v>182</v>
      </c>
      <c r="K456" s="175">
        <f t="shared" ref="K456:P456" si="165">K457+K458</f>
        <v>0</v>
      </c>
      <c r="L456" s="175">
        <f t="shared" si="165"/>
        <v>0</v>
      </c>
      <c r="M456" s="175">
        <f t="shared" si="165"/>
        <v>0</v>
      </c>
      <c r="N456" s="175">
        <f t="shared" si="165"/>
        <v>0</v>
      </c>
      <c r="O456" s="175">
        <f t="shared" si="165"/>
        <v>0</v>
      </c>
      <c r="P456" s="175">
        <f t="shared" si="165"/>
        <v>0</v>
      </c>
    </row>
    <row r="457" spans="1:16" ht="22.5">
      <c r="A457" s="609"/>
      <c r="B457" s="572"/>
      <c r="C457" s="572"/>
      <c r="D457" s="609"/>
      <c r="E457" s="611"/>
      <c r="F457" s="178" t="s">
        <v>123</v>
      </c>
      <c r="G457" s="177">
        <f t="shared" si="160"/>
        <v>0</v>
      </c>
      <c r="H457" s="177" t="s">
        <v>182</v>
      </c>
      <c r="I457" s="177" t="s">
        <v>182</v>
      </c>
      <c r="J457" s="220" t="s">
        <v>182</v>
      </c>
      <c r="K457" s="175">
        <v>0</v>
      </c>
      <c r="L457" s="175">
        <v>0</v>
      </c>
      <c r="M457" s="175">
        <v>0</v>
      </c>
      <c r="N457" s="175">
        <v>0</v>
      </c>
      <c r="O457" s="175">
        <v>0</v>
      </c>
      <c r="P457" s="175">
        <v>0</v>
      </c>
    </row>
    <row r="458" spans="1:16" ht="22.5">
      <c r="A458" s="609"/>
      <c r="B458" s="572"/>
      <c r="C458" s="572"/>
      <c r="D458" s="609"/>
      <c r="E458" s="611"/>
      <c r="F458" s="178" t="s">
        <v>147</v>
      </c>
      <c r="G458" s="177">
        <f>K458+L458+M458</f>
        <v>0</v>
      </c>
      <c r="H458" s="177" t="s">
        <v>182</v>
      </c>
      <c r="I458" s="177" t="s">
        <v>182</v>
      </c>
      <c r="J458" s="220" t="s">
        <v>182</v>
      </c>
      <c r="K458" s="175">
        <v>0</v>
      </c>
      <c r="L458" s="175">
        <v>0</v>
      </c>
      <c r="M458" s="175">
        <v>0</v>
      </c>
      <c r="N458" s="175">
        <v>0</v>
      </c>
      <c r="O458" s="175">
        <v>0</v>
      </c>
      <c r="P458" s="175">
        <v>0</v>
      </c>
    </row>
    <row r="459" spans="1:16" ht="22.5">
      <c r="A459" s="609"/>
      <c r="B459" s="572"/>
      <c r="C459" s="572"/>
      <c r="D459" s="609"/>
      <c r="E459" s="611"/>
      <c r="F459" s="178" t="s">
        <v>264</v>
      </c>
      <c r="G459" s="177">
        <f t="shared" ref="G459:G461" si="166">K459+L459+M459</f>
        <v>0</v>
      </c>
      <c r="H459" s="177" t="s">
        <v>182</v>
      </c>
      <c r="I459" s="177" t="s">
        <v>182</v>
      </c>
      <c r="J459" s="220" t="s">
        <v>182</v>
      </c>
      <c r="K459" s="175">
        <v>0</v>
      </c>
      <c r="L459" s="175">
        <v>0</v>
      </c>
      <c r="M459" s="175">
        <v>0</v>
      </c>
      <c r="N459" s="175">
        <v>0</v>
      </c>
      <c r="O459" s="175">
        <v>0</v>
      </c>
      <c r="P459" s="175">
        <v>0</v>
      </c>
    </row>
    <row r="460" spans="1:16">
      <c r="A460" s="609"/>
      <c r="B460" s="572"/>
      <c r="C460" s="572"/>
      <c r="D460" s="609"/>
      <c r="E460" s="611"/>
      <c r="F460" s="178" t="s">
        <v>265</v>
      </c>
      <c r="G460" s="177">
        <f t="shared" si="166"/>
        <v>0</v>
      </c>
      <c r="H460" s="177" t="s">
        <v>182</v>
      </c>
      <c r="I460" s="177" t="s">
        <v>182</v>
      </c>
      <c r="J460" s="220" t="s">
        <v>182</v>
      </c>
      <c r="K460" s="175">
        <v>0</v>
      </c>
      <c r="L460" s="175">
        <v>0</v>
      </c>
      <c r="M460" s="175">
        <v>0</v>
      </c>
      <c r="N460" s="175">
        <v>0</v>
      </c>
      <c r="O460" s="175">
        <v>0</v>
      </c>
      <c r="P460" s="175">
        <v>0</v>
      </c>
    </row>
    <row r="461" spans="1:16" ht="22.5">
      <c r="A461" s="613"/>
      <c r="B461" s="580"/>
      <c r="C461" s="580"/>
      <c r="D461" s="613"/>
      <c r="E461" s="612"/>
      <c r="F461" s="178" t="s">
        <v>260</v>
      </c>
      <c r="G461" s="177">
        <f t="shared" si="166"/>
        <v>0</v>
      </c>
      <c r="H461" s="177" t="s">
        <v>182</v>
      </c>
      <c r="I461" s="177" t="s">
        <v>182</v>
      </c>
      <c r="J461" s="220" t="s">
        <v>182</v>
      </c>
      <c r="K461" s="175">
        <f t="shared" ref="K461:P461" si="167">K456</f>
        <v>0</v>
      </c>
      <c r="L461" s="175">
        <f t="shared" si="167"/>
        <v>0</v>
      </c>
      <c r="M461" s="175">
        <f t="shared" si="167"/>
        <v>0</v>
      </c>
      <c r="N461" s="175">
        <f t="shared" si="167"/>
        <v>0</v>
      </c>
      <c r="O461" s="175">
        <f t="shared" si="167"/>
        <v>0</v>
      </c>
      <c r="P461" s="175">
        <f t="shared" si="167"/>
        <v>0</v>
      </c>
    </row>
    <row r="462" spans="1:16" ht="22.5" customHeight="1">
      <c r="A462" s="608" t="s">
        <v>83</v>
      </c>
      <c r="B462" s="571" t="s">
        <v>177</v>
      </c>
      <c r="C462" s="571"/>
      <c r="D462" s="552"/>
      <c r="E462" s="614" t="s">
        <v>261</v>
      </c>
      <c r="F462" s="176" t="s">
        <v>120</v>
      </c>
      <c r="G462" s="177">
        <f t="shared" ref="G462:G464" si="168">H462+I462+J462+K462+L462+M462</f>
        <v>1669.87</v>
      </c>
      <c r="H462" s="177">
        <f>H463+H464</f>
        <v>0</v>
      </c>
      <c r="I462" s="177">
        <f>I463+I464</f>
        <v>869.87</v>
      </c>
      <c r="J462" s="244">
        <f>J463+J464</f>
        <v>800</v>
      </c>
      <c r="K462" s="177">
        <f>K463+K464</f>
        <v>0</v>
      </c>
      <c r="L462" s="177">
        <v>0</v>
      </c>
      <c r="M462" s="177">
        <v>0</v>
      </c>
      <c r="N462" s="177">
        <v>0</v>
      </c>
      <c r="O462" s="177">
        <v>0</v>
      </c>
      <c r="P462" s="177">
        <v>0</v>
      </c>
    </row>
    <row r="463" spans="1:16" ht="19.5" customHeight="1">
      <c r="A463" s="609"/>
      <c r="B463" s="572"/>
      <c r="C463" s="572"/>
      <c r="D463" s="553"/>
      <c r="E463" s="615"/>
      <c r="F463" s="176" t="s">
        <v>121</v>
      </c>
      <c r="G463" s="177">
        <f t="shared" si="168"/>
        <v>0</v>
      </c>
      <c r="H463" s="177">
        <v>0</v>
      </c>
      <c r="I463" s="177">
        <v>0</v>
      </c>
      <c r="J463" s="244">
        <v>0</v>
      </c>
      <c r="K463" s="244">
        <v>0</v>
      </c>
      <c r="L463" s="177">
        <v>0</v>
      </c>
      <c r="M463" s="177">
        <v>0</v>
      </c>
      <c r="N463" s="177">
        <v>0</v>
      </c>
      <c r="O463" s="177">
        <v>0</v>
      </c>
      <c r="P463" s="177">
        <v>0</v>
      </c>
    </row>
    <row r="464" spans="1:16">
      <c r="A464" s="613"/>
      <c r="B464" s="580"/>
      <c r="C464" s="580"/>
      <c r="D464" s="554"/>
      <c r="E464" s="616"/>
      <c r="F464" s="176" t="s">
        <v>207</v>
      </c>
      <c r="G464" s="177">
        <f t="shared" si="168"/>
        <v>1669.87</v>
      </c>
      <c r="H464" s="177">
        <f>H467+H471+H475+H479+H483+H487+H490+H511+H515+H518+H521+H538+H541+H545+H548+H551</f>
        <v>0</v>
      </c>
      <c r="I464" s="177">
        <f>I467+I471+I475+I479+I483+I487+I490+I495+I498+I498+I501+I504+I507+I511+I515+I518+I518+I521+I538+I541+I545+I548+I551</f>
        <v>869.87</v>
      </c>
      <c r="J464" s="244">
        <f>J467+J471+J475+J479+J483+J487+J490+J511+J515+J518+J521+J538+J541+J545+J548+J551+J495+J498+J501+J504+J507</f>
        <v>800</v>
      </c>
      <c r="K464" s="177">
        <f>K471+K475+K479+K483+K487+K490+K511+K515+K518+K521+K538+K541+K545+K548+K551+K495+K498+K501+K504+K507</f>
        <v>0</v>
      </c>
      <c r="L464" s="177">
        <v>0</v>
      </c>
      <c r="M464" s="177">
        <v>0</v>
      </c>
      <c r="N464" s="177">
        <v>0</v>
      </c>
      <c r="O464" s="177">
        <v>0</v>
      </c>
      <c r="P464" s="177">
        <v>0</v>
      </c>
    </row>
    <row r="465" spans="1:16" ht="38.25" customHeight="1">
      <c r="A465" s="246">
        <v>39</v>
      </c>
      <c r="B465" s="246">
        <v>3</v>
      </c>
      <c r="C465" s="9" t="s">
        <v>15</v>
      </c>
      <c r="D465" s="246"/>
      <c r="E465" s="625" t="s">
        <v>199</v>
      </c>
      <c r="F465" s="624"/>
      <c r="G465" s="177">
        <f>H465+I465+J465+K465</f>
        <v>0</v>
      </c>
      <c r="H465" s="177">
        <f>SUM(H466,H470,H474,H478,H482,H486,H489)</f>
        <v>0</v>
      </c>
      <c r="I465" s="177">
        <f>SUM(I466,I470,I474,I478,I482,I486,I489)</f>
        <v>0</v>
      </c>
      <c r="J465" s="244">
        <f>SUM(J466,J470,J474,J478,J482,J486,J489)</f>
        <v>0</v>
      </c>
      <c r="K465" s="177">
        <f>SUM(K466,K470,K474,K478,K482,K486,K489)</f>
        <v>0</v>
      </c>
      <c r="L465" s="179" t="s">
        <v>182</v>
      </c>
      <c r="M465" s="179" t="s">
        <v>182</v>
      </c>
      <c r="N465" s="179" t="s">
        <v>182</v>
      </c>
      <c r="O465" s="179" t="s">
        <v>182</v>
      </c>
      <c r="P465" s="179" t="s">
        <v>182</v>
      </c>
    </row>
    <row r="466" spans="1:16">
      <c r="A466" s="632">
        <v>39</v>
      </c>
      <c r="B466" s="632">
        <v>3</v>
      </c>
      <c r="C466" s="571" t="s">
        <v>15</v>
      </c>
      <c r="D466" s="571" t="s">
        <v>15</v>
      </c>
      <c r="E466" s="610" t="s">
        <v>445</v>
      </c>
      <c r="F466" s="178" t="s">
        <v>111</v>
      </c>
      <c r="G466" s="177">
        <f>H466+I466+J466+K466</f>
        <v>0</v>
      </c>
      <c r="H466" s="189">
        <v>0</v>
      </c>
      <c r="I466" s="175">
        <v>0</v>
      </c>
      <c r="J466" s="307">
        <v>0</v>
      </c>
      <c r="K466" s="189">
        <v>0</v>
      </c>
      <c r="L466" s="179" t="s">
        <v>182</v>
      </c>
      <c r="M466" s="179" t="s">
        <v>182</v>
      </c>
      <c r="N466" s="179" t="s">
        <v>182</v>
      </c>
      <c r="O466" s="179" t="s">
        <v>182</v>
      </c>
      <c r="P466" s="179" t="s">
        <v>182</v>
      </c>
    </row>
    <row r="467" spans="1:16" ht="22.5">
      <c r="A467" s="633"/>
      <c r="B467" s="633"/>
      <c r="C467" s="572"/>
      <c r="D467" s="572"/>
      <c r="E467" s="611"/>
      <c r="F467" s="178" t="s">
        <v>148</v>
      </c>
      <c r="G467" s="177">
        <f>H467+I467+J467+K467</f>
        <v>0</v>
      </c>
      <c r="H467" s="189">
        <v>0</v>
      </c>
      <c r="I467" s="175">
        <v>0</v>
      </c>
      <c r="J467" s="307">
        <v>0</v>
      </c>
      <c r="K467" s="189">
        <v>0</v>
      </c>
      <c r="L467" s="179" t="s">
        <v>182</v>
      </c>
      <c r="M467" s="179" t="s">
        <v>182</v>
      </c>
      <c r="N467" s="179" t="s">
        <v>182</v>
      </c>
      <c r="O467" s="179" t="s">
        <v>182</v>
      </c>
      <c r="P467" s="179" t="s">
        <v>182</v>
      </c>
    </row>
    <row r="468" spans="1:16" ht="22.5">
      <c r="A468" s="633"/>
      <c r="B468" s="633"/>
      <c r="C468" s="572"/>
      <c r="D468" s="572"/>
      <c r="E468" s="611"/>
      <c r="F468" s="178" t="s">
        <v>260</v>
      </c>
      <c r="G468" s="177">
        <f>I468+J468+K468</f>
        <v>0</v>
      </c>
      <c r="H468" s="189" t="s">
        <v>182</v>
      </c>
      <c r="I468" s="175">
        <v>0</v>
      </c>
      <c r="J468" s="307">
        <v>0</v>
      </c>
      <c r="K468" s="189">
        <v>0</v>
      </c>
      <c r="L468" s="179" t="s">
        <v>182</v>
      </c>
      <c r="M468" s="179" t="s">
        <v>182</v>
      </c>
      <c r="N468" s="179" t="s">
        <v>182</v>
      </c>
      <c r="O468" s="179" t="s">
        <v>182</v>
      </c>
      <c r="P468" s="179" t="s">
        <v>182</v>
      </c>
    </row>
    <row r="469" spans="1:16" ht="64.5" customHeight="1">
      <c r="A469" s="634"/>
      <c r="B469" s="634"/>
      <c r="C469" s="580"/>
      <c r="D469" s="580"/>
      <c r="E469" s="612"/>
      <c r="F469" s="178" t="s">
        <v>110</v>
      </c>
      <c r="G469" s="177">
        <f>H469</f>
        <v>0</v>
      </c>
      <c r="H469" s="189">
        <v>0</v>
      </c>
      <c r="I469" s="334" t="s">
        <v>182</v>
      </c>
      <c r="J469" s="305" t="s">
        <v>182</v>
      </c>
      <c r="K469" s="179" t="s">
        <v>182</v>
      </c>
      <c r="L469" s="179" t="s">
        <v>182</v>
      </c>
      <c r="M469" s="179" t="s">
        <v>182</v>
      </c>
      <c r="N469" s="179" t="s">
        <v>182</v>
      </c>
      <c r="O469" s="179" t="s">
        <v>182</v>
      </c>
      <c r="P469" s="179" t="s">
        <v>182</v>
      </c>
    </row>
    <row r="470" spans="1:16" ht="24" customHeight="1">
      <c r="A470" s="632">
        <v>39</v>
      </c>
      <c r="B470" s="632">
        <v>3</v>
      </c>
      <c r="C470" s="571" t="s">
        <v>15</v>
      </c>
      <c r="D470" s="571" t="s">
        <v>16</v>
      </c>
      <c r="E470" s="626" t="s">
        <v>527</v>
      </c>
      <c r="F470" s="178" t="s">
        <v>111</v>
      </c>
      <c r="G470" s="177">
        <f>H470+I470+J470+K470</f>
        <v>0</v>
      </c>
      <c r="H470" s="189">
        <v>0</v>
      </c>
      <c r="I470" s="175">
        <v>0</v>
      </c>
      <c r="J470" s="307">
        <v>0</v>
      </c>
      <c r="K470" s="189">
        <v>0</v>
      </c>
      <c r="L470" s="179" t="s">
        <v>182</v>
      </c>
      <c r="M470" s="179" t="s">
        <v>182</v>
      </c>
      <c r="N470" s="179" t="s">
        <v>182</v>
      </c>
      <c r="O470" s="179" t="s">
        <v>182</v>
      </c>
      <c r="P470" s="179" t="s">
        <v>182</v>
      </c>
    </row>
    <row r="471" spans="1:16" ht="42.75" customHeight="1">
      <c r="A471" s="633"/>
      <c r="B471" s="633"/>
      <c r="C471" s="572"/>
      <c r="D471" s="572"/>
      <c r="E471" s="627"/>
      <c r="F471" s="178" t="s">
        <v>148</v>
      </c>
      <c r="G471" s="177">
        <f>H471+I471+J471+K471</f>
        <v>0</v>
      </c>
      <c r="H471" s="189">
        <v>0</v>
      </c>
      <c r="I471" s="175">
        <v>0</v>
      </c>
      <c r="J471" s="307">
        <v>0</v>
      </c>
      <c r="K471" s="189">
        <v>0</v>
      </c>
      <c r="L471" s="179" t="s">
        <v>182</v>
      </c>
      <c r="M471" s="179" t="s">
        <v>182</v>
      </c>
      <c r="N471" s="179" t="s">
        <v>182</v>
      </c>
      <c r="O471" s="179" t="s">
        <v>182</v>
      </c>
      <c r="P471" s="179" t="s">
        <v>182</v>
      </c>
    </row>
    <row r="472" spans="1:16" ht="40.5" customHeight="1">
      <c r="A472" s="633"/>
      <c r="B472" s="633"/>
      <c r="C472" s="572"/>
      <c r="D472" s="572"/>
      <c r="E472" s="627"/>
      <c r="F472" s="178" t="s">
        <v>260</v>
      </c>
      <c r="G472" s="177">
        <f>I472+J472+K472</f>
        <v>0</v>
      </c>
      <c r="H472" s="189" t="s">
        <v>182</v>
      </c>
      <c r="I472" s="175">
        <v>0</v>
      </c>
      <c r="J472" s="307">
        <v>0</v>
      </c>
      <c r="K472" s="189">
        <v>0</v>
      </c>
      <c r="L472" s="179" t="s">
        <v>182</v>
      </c>
      <c r="M472" s="179" t="s">
        <v>182</v>
      </c>
      <c r="N472" s="179" t="s">
        <v>182</v>
      </c>
      <c r="O472" s="179" t="s">
        <v>182</v>
      </c>
      <c r="P472" s="179" t="s">
        <v>182</v>
      </c>
    </row>
    <row r="473" spans="1:16" ht="72.75" customHeight="1">
      <c r="A473" s="634"/>
      <c r="B473" s="634"/>
      <c r="C473" s="580"/>
      <c r="D473" s="580"/>
      <c r="E473" s="628"/>
      <c r="F473" s="178" t="s">
        <v>110</v>
      </c>
      <c r="G473" s="177">
        <f>H473</f>
        <v>0</v>
      </c>
      <c r="H473" s="189">
        <v>0</v>
      </c>
      <c r="I473" s="334" t="s">
        <v>182</v>
      </c>
      <c r="J473" s="305" t="s">
        <v>182</v>
      </c>
      <c r="K473" s="179" t="s">
        <v>182</v>
      </c>
      <c r="L473" s="179" t="s">
        <v>182</v>
      </c>
      <c r="M473" s="179" t="s">
        <v>182</v>
      </c>
      <c r="N473" s="179" t="s">
        <v>182</v>
      </c>
      <c r="O473" s="179" t="s">
        <v>182</v>
      </c>
      <c r="P473" s="179" t="s">
        <v>182</v>
      </c>
    </row>
    <row r="474" spans="1:16">
      <c r="A474" s="632">
        <v>39</v>
      </c>
      <c r="B474" s="632">
        <v>3</v>
      </c>
      <c r="C474" s="571" t="s">
        <v>15</v>
      </c>
      <c r="D474" s="571" t="s">
        <v>17</v>
      </c>
      <c r="E474" s="626" t="s">
        <v>255</v>
      </c>
      <c r="F474" s="178" t="s">
        <v>111</v>
      </c>
      <c r="G474" s="177">
        <f>H474+I474+J474+K474</f>
        <v>0</v>
      </c>
      <c r="H474" s="189">
        <v>0</v>
      </c>
      <c r="I474" s="175">
        <v>0</v>
      </c>
      <c r="J474" s="307">
        <v>0</v>
      </c>
      <c r="K474" s="189">
        <v>0</v>
      </c>
      <c r="L474" s="179" t="s">
        <v>182</v>
      </c>
      <c r="M474" s="179" t="s">
        <v>182</v>
      </c>
      <c r="N474" s="179" t="s">
        <v>182</v>
      </c>
      <c r="O474" s="179" t="s">
        <v>182</v>
      </c>
      <c r="P474" s="179" t="s">
        <v>182</v>
      </c>
    </row>
    <row r="475" spans="1:16" ht="22.5">
      <c r="A475" s="633"/>
      <c r="B475" s="633"/>
      <c r="C475" s="572"/>
      <c r="D475" s="572"/>
      <c r="E475" s="627"/>
      <c r="F475" s="178" t="s">
        <v>148</v>
      </c>
      <c r="G475" s="177">
        <f>H475+I475+J475+K475</f>
        <v>0</v>
      </c>
      <c r="H475" s="189">
        <v>0</v>
      </c>
      <c r="I475" s="175">
        <v>0</v>
      </c>
      <c r="J475" s="307">
        <v>0</v>
      </c>
      <c r="K475" s="189">
        <v>0</v>
      </c>
      <c r="L475" s="179" t="s">
        <v>182</v>
      </c>
      <c r="M475" s="179" t="s">
        <v>182</v>
      </c>
      <c r="N475" s="179" t="s">
        <v>182</v>
      </c>
      <c r="O475" s="179" t="s">
        <v>182</v>
      </c>
      <c r="P475" s="179" t="s">
        <v>182</v>
      </c>
    </row>
    <row r="476" spans="1:16" ht="22.5">
      <c r="A476" s="633"/>
      <c r="B476" s="633"/>
      <c r="C476" s="572"/>
      <c r="D476" s="572"/>
      <c r="E476" s="627"/>
      <c r="F476" s="178" t="s">
        <v>260</v>
      </c>
      <c r="G476" s="177">
        <v>0</v>
      </c>
      <c r="H476" s="189" t="s">
        <v>182</v>
      </c>
      <c r="I476" s="175">
        <v>0</v>
      </c>
      <c r="J476" s="307">
        <v>0</v>
      </c>
      <c r="K476" s="189">
        <v>0</v>
      </c>
      <c r="L476" s="179" t="s">
        <v>182</v>
      </c>
      <c r="M476" s="179" t="s">
        <v>182</v>
      </c>
      <c r="N476" s="179" t="s">
        <v>182</v>
      </c>
      <c r="O476" s="179" t="s">
        <v>182</v>
      </c>
      <c r="P476" s="179" t="s">
        <v>182</v>
      </c>
    </row>
    <row r="477" spans="1:16" ht="22.5">
      <c r="A477" s="634"/>
      <c r="B477" s="634"/>
      <c r="C477" s="580"/>
      <c r="D477" s="580"/>
      <c r="E477" s="628"/>
      <c r="F477" s="178" t="s">
        <v>110</v>
      </c>
      <c r="G477" s="177">
        <f>H477</f>
        <v>0</v>
      </c>
      <c r="H477" s="189">
        <v>0</v>
      </c>
      <c r="I477" s="334" t="s">
        <v>182</v>
      </c>
      <c r="J477" s="305" t="s">
        <v>182</v>
      </c>
      <c r="K477" s="179" t="s">
        <v>182</v>
      </c>
      <c r="L477" s="179" t="s">
        <v>182</v>
      </c>
      <c r="M477" s="179" t="s">
        <v>182</v>
      </c>
      <c r="N477" s="179" t="s">
        <v>182</v>
      </c>
      <c r="O477" s="179" t="s">
        <v>182</v>
      </c>
      <c r="P477" s="179" t="s">
        <v>182</v>
      </c>
    </row>
    <row r="478" spans="1:16">
      <c r="A478" s="632" t="s">
        <v>83</v>
      </c>
      <c r="B478" s="632">
        <v>3</v>
      </c>
      <c r="C478" s="571" t="s">
        <v>15</v>
      </c>
      <c r="D478" s="632" t="s">
        <v>18</v>
      </c>
      <c r="E478" s="626" t="s">
        <v>258</v>
      </c>
      <c r="F478" s="178" t="s">
        <v>111</v>
      </c>
      <c r="G478" s="177">
        <f>H478+I478+J478+K478</f>
        <v>0</v>
      </c>
      <c r="H478" s="189">
        <v>0</v>
      </c>
      <c r="I478" s="175">
        <v>0</v>
      </c>
      <c r="J478" s="307">
        <v>0</v>
      </c>
      <c r="K478" s="189">
        <v>0</v>
      </c>
      <c r="L478" s="179" t="s">
        <v>182</v>
      </c>
      <c r="M478" s="179" t="s">
        <v>182</v>
      </c>
      <c r="N478" s="179" t="s">
        <v>182</v>
      </c>
      <c r="O478" s="179" t="s">
        <v>182</v>
      </c>
      <c r="P478" s="179" t="s">
        <v>182</v>
      </c>
    </row>
    <row r="479" spans="1:16" ht="22.5">
      <c r="A479" s="633"/>
      <c r="B479" s="633"/>
      <c r="C479" s="572"/>
      <c r="D479" s="633"/>
      <c r="E479" s="627"/>
      <c r="F479" s="178" t="s">
        <v>148</v>
      </c>
      <c r="G479" s="177">
        <f>H479+I479+J479+K479</f>
        <v>0</v>
      </c>
      <c r="H479" s="189">
        <v>0</v>
      </c>
      <c r="I479" s="175">
        <v>0</v>
      </c>
      <c r="J479" s="307">
        <v>0</v>
      </c>
      <c r="K479" s="189">
        <v>0</v>
      </c>
      <c r="L479" s="179" t="s">
        <v>182</v>
      </c>
      <c r="M479" s="179" t="s">
        <v>182</v>
      </c>
      <c r="N479" s="179" t="s">
        <v>182</v>
      </c>
      <c r="O479" s="179" t="s">
        <v>182</v>
      </c>
      <c r="P479" s="179" t="s">
        <v>182</v>
      </c>
    </row>
    <row r="480" spans="1:16" ht="22.5">
      <c r="A480" s="633"/>
      <c r="B480" s="633"/>
      <c r="C480" s="572"/>
      <c r="D480" s="633"/>
      <c r="E480" s="627"/>
      <c r="F480" s="178" t="s">
        <v>260</v>
      </c>
      <c r="G480" s="177">
        <v>0</v>
      </c>
      <c r="H480" s="189" t="s">
        <v>182</v>
      </c>
      <c r="I480" s="175">
        <v>0</v>
      </c>
      <c r="J480" s="307">
        <v>0</v>
      </c>
      <c r="K480" s="189">
        <v>0</v>
      </c>
      <c r="L480" s="179" t="s">
        <v>182</v>
      </c>
      <c r="M480" s="179" t="s">
        <v>182</v>
      </c>
      <c r="N480" s="179" t="s">
        <v>182</v>
      </c>
      <c r="O480" s="179" t="s">
        <v>182</v>
      </c>
      <c r="P480" s="179" t="s">
        <v>182</v>
      </c>
    </row>
    <row r="481" spans="1:16" ht="24" customHeight="1">
      <c r="A481" s="634"/>
      <c r="B481" s="634"/>
      <c r="C481" s="580"/>
      <c r="D481" s="634"/>
      <c r="E481" s="628"/>
      <c r="F481" s="178" t="s">
        <v>110</v>
      </c>
      <c r="G481" s="177">
        <f>H481</f>
        <v>0</v>
      </c>
      <c r="H481" s="189">
        <v>0</v>
      </c>
      <c r="I481" s="334" t="s">
        <v>182</v>
      </c>
      <c r="J481" s="305" t="s">
        <v>182</v>
      </c>
      <c r="K481" s="179" t="s">
        <v>182</v>
      </c>
      <c r="L481" s="179" t="s">
        <v>182</v>
      </c>
      <c r="M481" s="179" t="s">
        <v>182</v>
      </c>
      <c r="N481" s="179" t="s">
        <v>182</v>
      </c>
      <c r="O481" s="179" t="s">
        <v>182</v>
      </c>
      <c r="P481" s="179" t="s">
        <v>182</v>
      </c>
    </row>
    <row r="482" spans="1:16">
      <c r="A482" s="632">
        <v>39</v>
      </c>
      <c r="B482" s="632">
        <v>3</v>
      </c>
      <c r="C482" s="571" t="s">
        <v>15</v>
      </c>
      <c r="D482" s="571" t="s">
        <v>29</v>
      </c>
      <c r="E482" s="626" t="s">
        <v>531</v>
      </c>
      <c r="F482" s="178" t="s">
        <v>111</v>
      </c>
      <c r="G482" s="177">
        <f>H482+I482+J482+K482</f>
        <v>0</v>
      </c>
      <c r="H482" s="189">
        <v>0</v>
      </c>
      <c r="I482" s="175">
        <v>0</v>
      </c>
      <c r="J482" s="307">
        <v>0</v>
      </c>
      <c r="K482" s="189">
        <v>0</v>
      </c>
      <c r="L482" s="179" t="s">
        <v>182</v>
      </c>
      <c r="M482" s="179" t="s">
        <v>182</v>
      </c>
      <c r="N482" s="179" t="s">
        <v>182</v>
      </c>
      <c r="O482" s="179" t="s">
        <v>182</v>
      </c>
      <c r="P482" s="179" t="s">
        <v>182</v>
      </c>
    </row>
    <row r="483" spans="1:16" ht="22.5">
      <c r="A483" s="633"/>
      <c r="B483" s="633"/>
      <c r="C483" s="572"/>
      <c r="D483" s="572"/>
      <c r="E483" s="627"/>
      <c r="F483" s="178" t="s">
        <v>148</v>
      </c>
      <c r="G483" s="177">
        <f>H483+I483+J483+K483</f>
        <v>0</v>
      </c>
      <c r="H483" s="189">
        <v>0</v>
      </c>
      <c r="I483" s="175">
        <v>0</v>
      </c>
      <c r="J483" s="307">
        <v>0</v>
      </c>
      <c r="K483" s="189">
        <v>0</v>
      </c>
      <c r="L483" s="179" t="s">
        <v>182</v>
      </c>
      <c r="M483" s="179" t="s">
        <v>182</v>
      </c>
      <c r="N483" s="179" t="s">
        <v>182</v>
      </c>
      <c r="O483" s="179" t="s">
        <v>182</v>
      </c>
      <c r="P483" s="179" t="s">
        <v>182</v>
      </c>
    </row>
    <row r="484" spans="1:16" ht="22.5">
      <c r="A484" s="633"/>
      <c r="B484" s="633"/>
      <c r="C484" s="572"/>
      <c r="D484" s="572"/>
      <c r="E484" s="627"/>
      <c r="F484" s="178" t="s">
        <v>260</v>
      </c>
      <c r="G484" s="177">
        <v>0</v>
      </c>
      <c r="H484" s="189" t="s">
        <v>182</v>
      </c>
      <c r="I484" s="175">
        <v>0</v>
      </c>
      <c r="J484" s="307">
        <v>0</v>
      </c>
      <c r="K484" s="189">
        <v>0</v>
      </c>
      <c r="L484" s="179" t="s">
        <v>182</v>
      </c>
      <c r="M484" s="179" t="s">
        <v>182</v>
      </c>
      <c r="N484" s="179" t="s">
        <v>182</v>
      </c>
      <c r="O484" s="179" t="s">
        <v>182</v>
      </c>
      <c r="P484" s="179" t="s">
        <v>182</v>
      </c>
    </row>
    <row r="485" spans="1:16" ht="22.5">
      <c r="A485" s="634"/>
      <c r="B485" s="634"/>
      <c r="C485" s="580"/>
      <c r="D485" s="580"/>
      <c r="E485" s="628"/>
      <c r="F485" s="178" t="s">
        <v>110</v>
      </c>
      <c r="G485" s="177">
        <f>H485</f>
        <v>0</v>
      </c>
      <c r="H485" s="189">
        <v>0</v>
      </c>
      <c r="I485" s="334" t="s">
        <v>182</v>
      </c>
      <c r="J485" s="305" t="s">
        <v>182</v>
      </c>
      <c r="K485" s="179" t="s">
        <v>182</v>
      </c>
      <c r="L485" s="179" t="s">
        <v>182</v>
      </c>
      <c r="M485" s="179" t="s">
        <v>182</v>
      </c>
      <c r="N485" s="179" t="s">
        <v>182</v>
      </c>
      <c r="O485" s="179" t="s">
        <v>182</v>
      </c>
      <c r="P485" s="179" t="s">
        <v>182</v>
      </c>
    </row>
    <row r="486" spans="1:16">
      <c r="A486" s="608" t="s">
        <v>83</v>
      </c>
      <c r="B486" s="571" t="s">
        <v>177</v>
      </c>
      <c r="C486" s="571" t="s">
        <v>15</v>
      </c>
      <c r="D486" s="571" t="s">
        <v>28</v>
      </c>
      <c r="E486" s="626" t="s">
        <v>193</v>
      </c>
      <c r="F486" s="178" t="s">
        <v>111</v>
      </c>
      <c r="G486" s="177">
        <f t="shared" ref="G486:G491" si="169">H486+I486+J486+K486</f>
        <v>0</v>
      </c>
      <c r="H486" s="189">
        <v>0</v>
      </c>
      <c r="I486" s="175">
        <v>0</v>
      </c>
      <c r="J486" s="307">
        <v>0</v>
      </c>
      <c r="K486" s="189">
        <v>0</v>
      </c>
      <c r="L486" s="179" t="s">
        <v>182</v>
      </c>
      <c r="M486" s="179" t="s">
        <v>182</v>
      </c>
      <c r="N486" s="179" t="s">
        <v>182</v>
      </c>
      <c r="O486" s="179" t="s">
        <v>182</v>
      </c>
      <c r="P486" s="179" t="s">
        <v>182</v>
      </c>
    </row>
    <row r="487" spans="1:16" ht="22.5">
      <c r="A487" s="609"/>
      <c r="B487" s="572"/>
      <c r="C487" s="572"/>
      <c r="D487" s="572"/>
      <c r="E487" s="627"/>
      <c r="F487" s="178" t="s">
        <v>148</v>
      </c>
      <c r="G487" s="177">
        <f t="shared" si="169"/>
        <v>0</v>
      </c>
      <c r="H487" s="189">
        <v>0</v>
      </c>
      <c r="I487" s="175">
        <v>0</v>
      </c>
      <c r="J487" s="307">
        <v>0</v>
      </c>
      <c r="K487" s="189">
        <v>0</v>
      </c>
      <c r="L487" s="179" t="s">
        <v>182</v>
      </c>
      <c r="M487" s="179" t="s">
        <v>182</v>
      </c>
      <c r="N487" s="179" t="s">
        <v>182</v>
      </c>
      <c r="O487" s="179" t="s">
        <v>182</v>
      </c>
      <c r="P487" s="179" t="s">
        <v>182</v>
      </c>
    </row>
    <row r="488" spans="1:16" ht="39.75" customHeight="1">
      <c r="A488" s="613"/>
      <c r="B488" s="580"/>
      <c r="C488" s="580"/>
      <c r="D488" s="580"/>
      <c r="E488" s="628"/>
      <c r="F488" s="178" t="s">
        <v>78</v>
      </c>
      <c r="G488" s="177">
        <f t="shared" si="169"/>
        <v>0</v>
      </c>
      <c r="H488" s="189">
        <v>0</v>
      </c>
      <c r="I488" s="175">
        <v>0</v>
      </c>
      <c r="J488" s="307">
        <v>0</v>
      </c>
      <c r="K488" s="189">
        <v>0</v>
      </c>
      <c r="L488" s="179" t="s">
        <v>182</v>
      </c>
      <c r="M488" s="179" t="s">
        <v>182</v>
      </c>
      <c r="N488" s="179" t="s">
        <v>182</v>
      </c>
      <c r="O488" s="179" t="s">
        <v>182</v>
      </c>
      <c r="P488" s="179" t="s">
        <v>182</v>
      </c>
    </row>
    <row r="489" spans="1:16">
      <c r="A489" s="632">
        <v>39</v>
      </c>
      <c r="B489" s="632">
        <v>3</v>
      </c>
      <c r="C489" s="571" t="s">
        <v>15</v>
      </c>
      <c r="D489" s="571" t="s">
        <v>13</v>
      </c>
      <c r="E489" s="610" t="s">
        <v>200</v>
      </c>
      <c r="F489" s="178" t="s">
        <v>111</v>
      </c>
      <c r="G489" s="177">
        <f t="shared" si="169"/>
        <v>0</v>
      </c>
      <c r="H489" s="189">
        <v>0</v>
      </c>
      <c r="I489" s="175">
        <v>0</v>
      </c>
      <c r="J489" s="307">
        <v>0</v>
      </c>
      <c r="K489" s="189">
        <v>0</v>
      </c>
      <c r="L489" s="179" t="s">
        <v>182</v>
      </c>
      <c r="M489" s="179" t="s">
        <v>182</v>
      </c>
      <c r="N489" s="179" t="s">
        <v>182</v>
      </c>
      <c r="O489" s="179" t="s">
        <v>182</v>
      </c>
      <c r="P489" s="179" t="s">
        <v>182</v>
      </c>
    </row>
    <row r="490" spans="1:16" ht="22.5">
      <c r="A490" s="633"/>
      <c r="B490" s="633"/>
      <c r="C490" s="572"/>
      <c r="D490" s="572"/>
      <c r="E490" s="611"/>
      <c r="F490" s="178" t="s">
        <v>148</v>
      </c>
      <c r="G490" s="177">
        <f t="shared" si="169"/>
        <v>0</v>
      </c>
      <c r="H490" s="189">
        <v>0</v>
      </c>
      <c r="I490" s="175">
        <v>0</v>
      </c>
      <c r="J490" s="307">
        <v>0</v>
      </c>
      <c r="K490" s="189">
        <v>0</v>
      </c>
      <c r="L490" s="179" t="s">
        <v>182</v>
      </c>
      <c r="M490" s="179" t="s">
        <v>182</v>
      </c>
      <c r="N490" s="179" t="s">
        <v>182</v>
      </c>
      <c r="O490" s="179" t="s">
        <v>182</v>
      </c>
      <c r="P490" s="179" t="s">
        <v>182</v>
      </c>
    </row>
    <row r="491" spans="1:16" ht="22.5">
      <c r="A491" s="633"/>
      <c r="B491" s="633"/>
      <c r="C491" s="572"/>
      <c r="D491" s="572"/>
      <c r="E491" s="611"/>
      <c r="F491" s="178" t="s">
        <v>78</v>
      </c>
      <c r="G491" s="177">
        <f t="shared" si="169"/>
        <v>0</v>
      </c>
      <c r="H491" s="189">
        <v>0</v>
      </c>
      <c r="I491" s="175">
        <v>0</v>
      </c>
      <c r="J491" s="307">
        <v>0</v>
      </c>
      <c r="K491" s="189">
        <v>0</v>
      </c>
      <c r="L491" s="179" t="s">
        <v>182</v>
      </c>
      <c r="M491" s="179" t="s">
        <v>182</v>
      </c>
      <c r="N491" s="179" t="s">
        <v>182</v>
      </c>
      <c r="O491" s="179" t="s">
        <v>182</v>
      </c>
      <c r="P491" s="179" t="s">
        <v>182</v>
      </c>
    </row>
    <row r="492" spans="1:16" ht="22.5">
      <c r="A492" s="633"/>
      <c r="B492" s="633"/>
      <c r="C492" s="572"/>
      <c r="D492" s="572"/>
      <c r="E492" s="611"/>
      <c r="F492" s="178" t="s">
        <v>233</v>
      </c>
      <c r="G492" s="177">
        <v>0</v>
      </c>
      <c r="H492" s="189" t="s">
        <v>182</v>
      </c>
      <c r="I492" s="175">
        <v>0</v>
      </c>
      <c r="J492" s="307">
        <v>0</v>
      </c>
      <c r="K492" s="189">
        <v>0</v>
      </c>
      <c r="L492" s="179" t="s">
        <v>182</v>
      </c>
      <c r="M492" s="179" t="s">
        <v>182</v>
      </c>
      <c r="N492" s="179" t="s">
        <v>182</v>
      </c>
      <c r="O492" s="179" t="s">
        <v>182</v>
      </c>
      <c r="P492" s="179" t="s">
        <v>182</v>
      </c>
    </row>
    <row r="493" spans="1:16" ht="22.5">
      <c r="A493" s="634"/>
      <c r="B493" s="634"/>
      <c r="C493" s="580"/>
      <c r="D493" s="580"/>
      <c r="E493" s="612"/>
      <c r="F493" s="178" t="s">
        <v>110</v>
      </c>
      <c r="G493" s="177">
        <f>H493</f>
        <v>0</v>
      </c>
      <c r="H493" s="189">
        <v>0</v>
      </c>
      <c r="I493" s="334" t="s">
        <v>182</v>
      </c>
      <c r="J493" s="305" t="s">
        <v>182</v>
      </c>
      <c r="K493" s="179" t="s">
        <v>182</v>
      </c>
      <c r="L493" s="179" t="s">
        <v>182</v>
      </c>
      <c r="M493" s="179" t="s">
        <v>182</v>
      </c>
      <c r="N493" s="179" t="s">
        <v>182</v>
      </c>
      <c r="O493" s="179" t="s">
        <v>182</v>
      </c>
      <c r="P493" s="179" t="s">
        <v>182</v>
      </c>
    </row>
    <row r="494" spans="1:16">
      <c r="A494" s="608" t="s">
        <v>83</v>
      </c>
      <c r="B494" s="571" t="s">
        <v>177</v>
      </c>
      <c r="C494" s="571" t="s">
        <v>15</v>
      </c>
      <c r="D494" s="571" t="s">
        <v>30</v>
      </c>
      <c r="E494" s="610" t="s">
        <v>254</v>
      </c>
      <c r="F494" s="178" t="s">
        <v>111</v>
      </c>
      <c r="G494" s="177">
        <f t="shared" ref="G494:G499" si="170">I494+J494+K494</f>
        <v>0</v>
      </c>
      <c r="H494" s="189" t="s">
        <v>182</v>
      </c>
      <c r="I494" s="175">
        <v>0</v>
      </c>
      <c r="J494" s="307">
        <v>0</v>
      </c>
      <c r="K494" s="189">
        <v>0</v>
      </c>
      <c r="L494" s="179" t="s">
        <v>182</v>
      </c>
      <c r="M494" s="179" t="s">
        <v>182</v>
      </c>
      <c r="N494" s="179" t="s">
        <v>182</v>
      </c>
      <c r="O494" s="179" t="s">
        <v>182</v>
      </c>
      <c r="P494" s="179" t="s">
        <v>182</v>
      </c>
    </row>
    <row r="495" spans="1:16" ht="22.5">
      <c r="A495" s="609"/>
      <c r="B495" s="572"/>
      <c r="C495" s="572"/>
      <c r="D495" s="572"/>
      <c r="E495" s="611"/>
      <c r="F495" s="178" t="s">
        <v>148</v>
      </c>
      <c r="G495" s="177">
        <f t="shared" si="170"/>
        <v>0</v>
      </c>
      <c r="H495" s="189" t="s">
        <v>182</v>
      </c>
      <c r="I495" s="175">
        <v>0</v>
      </c>
      <c r="J495" s="307">
        <v>0</v>
      </c>
      <c r="K495" s="189">
        <v>0</v>
      </c>
      <c r="L495" s="179" t="s">
        <v>182</v>
      </c>
      <c r="M495" s="179" t="s">
        <v>182</v>
      </c>
      <c r="N495" s="179" t="s">
        <v>182</v>
      </c>
      <c r="O495" s="179" t="s">
        <v>182</v>
      </c>
      <c r="P495" s="179" t="s">
        <v>182</v>
      </c>
    </row>
    <row r="496" spans="1:16" ht="60" customHeight="1">
      <c r="A496" s="613"/>
      <c r="B496" s="580"/>
      <c r="C496" s="580"/>
      <c r="D496" s="580"/>
      <c r="E496" s="612"/>
      <c r="F496" s="178" t="s">
        <v>260</v>
      </c>
      <c r="G496" s="177">
        <f t="shared" si="170"/>
        <v>0</v>
      </c>
      <c r="H496" s="189" t="s">
        <v>182</v>
      </c>
      <c r="I496" s="175">
        <v>0</v>
      </c>
      <c r="J496" s="307">
        <v>0</v>
      </c>
      <c r="K496" s="189">
        <v>0</v>
      </c>
      <c r="L496" s="179" t="s">
        <v>182</v>
      </c>
      <c r="M496" s="179" t="s">
        <v>182</v>
      </c>
      <c r="N496" s="179" t="s">
        <v>182</v>
      </c>
      <c r="O496" s="179" t="s">
        <v>182</v>
      </c>
      <c r="P496" s="179" t="s">
        <v>182</v>
      </c>
    </row>
    <row r="497" spans="1:16" ht="27.75" customHeight="1">
      <c r="A497" s="608" t="s">
        <v>83</v>
      </c>
      <c r="B497" s="571" t="s">
        <v>177</v>
      </c>
      <c r="C497" s="571" t="s">
        <v>15</v>
      </c>
      <c r="D497" s="571" t="s">
        <v>31</v>
      </c>
      <c r="E497" s="610" t="s">
        <v>533</v>
      </c>
      <c r="F497" s="178" t="s">
        <v>111</v>
      </c>
      <c r="G497" s="177">
        <f t="shared" si="170"/>
        <v>0</v>
      </c>
      <c r="H497" s="189" t="s">
        <v>182</v>
      </c>
      <c r="I497" s="175">
        <v>0</v>
      </c>
      <c r="J497" s="307">
        <v>0</v>
      </c>
      <c r="K497" s="189">
        <v>0</v>
      </c>
      <c r="L497" s="179" t="s">
        <v>182</v>
      </c>
      <c r="M497" s="179" t="s">
        <v>182</v>
      </c>
      <c r="N497" s="179" t="s">
        <v>182</v>
      </c>
      <c r="O497" s="179" t="s">
        <v>182</v>
      </c>
      <c r="P497" s="179" t="s">
        <v>182</v>
      </c>
    </row>
    <row r="498" spans="1:16" ht="36.75" customHeight="1">
      <c r="A498" s="609"/>
      <c r="B498" s="572"/>
      <c r="C498" s="572"/>
      <c r="D498" s="572"/>
      <c r="E498" s="611"/>
      <c r="F498" s="178" t="s">
        <v>148</v>
      </c>
      <c r="G498" s="177">
        <f t="shared" si="170"/>
        <v>0</v>
      </c>
      <c r="H498" s="189" t="s">
        <v>182</v>
      </c>
      <c r="I498" s="175">
        <v>0</v>
      </c>
      <c r="J498" s="307">
        <v>0</v>
      </c>
      <c r="K498" s="189">
        <v>0</v>
      </c>
      <c r="L498" s="179" t="s">
        <v>182</v>
      </c>
      <c r="M498" s="179" t="s">
        <v>182</v>
      </c>
      <c r="N498" s="179" t="s">
        <v>182</v>
      </c>
      <c r="O498" s="179" t="s">
        <v>182</v>
      </c>
      <c r="P498" s="179" t="s">
        <v>182</v>
      </c>
    </row>
    <row r="499" spans="1:16" ht="52.5" customHeight="1">
      <c r="A499" s="613"/>
      <c r="B499" s="580"/>
      <c r="C499" s="580"/>
      <c r="D499" s="580"/>
      <c r="E499" s="612"/>
      <c r="F499" s="178" t="s">
        <v>260</v>
      </c>
      <c r="G499" s="177">
        <f t="shared" si="170"/>
        <v>0</v>
      </c>
      <c r="H499" s="189" t="s">
        <v>182</v>
      </c>
      <c r="I499" s="175">
        <v>0</v>
      </c>
      <c r="J499" s="307">
        <v>0</v>
      </c>
      <c r="K499" s="189">
        <v>0</v>
      </c>
      <c r="L499" s="179" t="s">
        <v>182</v>
      </c>
      <c r="M499" s="179" t="s">
        <v>182</v>
      </c>
      <c r="N499" s="179" t="s">
        <v>182</v>
      </c>
      <c r="O499" s="179" t="s">
        <v>182</v>
      </c>
      <c r="P499" s="179" t="s">
        <v>182</v>
      </c>
    </row>
    <row r="500" spans="1:16" s="329" customFormat="1" ht="26.25" customHeight="1">
      <c r="A500" s="608" t="s">
        <v>83</v>
      </c>
      <c r="B500" s="571" t="s">
        <v>177</v>
      </c>
      <c r="C500" s="571" t="s">
        <v>15</v>
      </c>
      <c r="D500" s="571" t="s">
        <v>52</v>
      </c>
      <c r="E500" s="610" t="s">
        <v>256</v>
      </c>
      <c r="F500" s="178" t="s">
        <v>111</v>
      </c>
      <c r="G500" s="177">
        <f t="shared" ref="G500:G508" si="171">I500+J500+K500</f>
        <v>0</v>
      </c>
      <c r="H500" s="189" t="s">
        <v>182</v>
      </c>
      <c r="I500" s="175">
        <v>0</v>
      </c>
      <c r="J500" s="307">
        <v>0</v>
      </c>
      <c r="K500" s="189">
        <v>0</v>
      </c>
      <c r="L500" s="179" t="s">
        <v>182</v>
      </c>
      <c r="M500" s="179" t="s">
        <v>182</v>
      </c>
      <c r="N500" s="179" t="s">
        <v>182</v>
      </c>
      <c r="O500" s="179" t="s">
        <v>182</v>
      </c>
      <c r="P500" s="179" t="s">
        <v>182</v>
      </c>
    </row>
    <row r="501" spans="1:16" s="329" customFormat="1" ht="41.25" customHeight="1">
      <c r="A501" s="609"/>
      <c r="B501" s="572"/>
      <c r="C501" s="572"/>
      <c r="D501" s="572"/>
      <c r="E501" s="611"/>
      <c r="F501" s="178" t="s">
        <v>148</v>
      </c>
      <c r="G501" s="177">
        <f t="shared" si="171"/>
        <v>0</v>
      </c>
      <c r="H501" s="189" t="s">
        <v>182</v>
      </c>
      <c r="I501" s="175">
        <v>0</v>
      </c>
      <c r="J501" s="307">
        <v>0</v>
      </c>
      <c r="K501" s="189">
        <v>0</v>
      </c>
      <c r="L501" s="179" t="s">
        <v>182</v>
      </c>
      <c r="M501" s="179" t="s">
        <v>182</v>
      </c>
      <c r="N501" s="179" t="s">
        <v>182</v>
      </c>
      <c r="O501" s="179" t="s">
        <v>182</v>
      </c>
      <c r="P501" s="179" t="s">
        <v>182</v>
      </c>
    </row>
    <row r="502" spans="1:16" s="329" customFormat="1" ht="115.5" customHeight="1">
      <c r="A502" s="613"/>
      <c r="B502" s="580"/>
      <c r="C502" s="580"/>
      <c r="D502" s="580"/>
      <c r="E502" s="612"/>
      <c r="F502" s="178" t="s">
        <v>260</v>
      </c>
      <c r="G502" s="177">
        <f t="shared" si="171"/>
        <v>0</v>
      </c>
      <c r="H502" s="189" t="s">
        <v>182</v>
      </c>
      <c r="I502" s="175">
        <v>0</v>
      </c>
      <c r="J502" s="307">
        <v>0</v>
      </c>
      <c r="K502" s="189">
        <v>0</v>
      </c>
      <c r="L502" s="179" t="s">
        <v>182</v>
      </c>
      <c r="M502" s="179" t="s">
        <v>182</v>
      </c>
      <c r="N502" s="179" t="s">
        <v>182</v>
      </c>
      <c r="O502" s="179" t="s">
        <v>182</v>
      </c>
      <c r="P502" s="179" t="s">
        <v>182</v>
      </c>
    </row>
    <row r="503" spans="1:16" ht="61.5" customHeight="1">
      <c r="A503" s="608" t="s">
        <v>83</v>
      </c>
      <c r="B503" s="571" t="s">
        <v>177</v>
      </c>
      <c r="C503" s="571" t="s">
        <v>15</v>
      </c>
      <c r="D503" s="571" t="s">
        <v>205</v>
      </c>
      <c r="E503" s="610" t="s">
        <v>535</v>
      </c>
      <c r="F503" s="178" t="s">
        <v>111</v>
      </c>
      <c r="G503" s="177">
        <f t="shared" si="171"/>
        <v>0</v>
      </c>
      <c r="H503" s="189" t="s">
        <v>182</v>
      </c>
      <c r="I503" s="175">
        <v>0</v>
      </c>
      <c r="J503" s="307">
        <v>0</v>
      </c>
      <c r="K503" s="189">
        <v>0</v>
      </c>
      <c r="L503" s="179" t="s">
        <v>182</v>
      </c>
      <c r="M503" s="179" t="s">
        <v>182</v>
      </c>
      <c r="N503" s="179" t="s">
        <v>182</v>
      </c>
      <c r="O503" s="179" t="s">
        <v>182</v>
      </c>
      <c r="P503" s="179" t="s">
        <v>182</v>
      </c>
    </row>
    <row r="504" spans="1:16" ht="66" customHeight="1">
      <c r="A504" s="609"/>
      <c r="B504" s="572"/>
      <c r="C504" s="572"/>
      <c r="D504" s="572"/>
      <c r="E504" s="611"/>
      <c r="F504" s="178" t="s">
        <v>148</v>
      </c>
      <c r="G504" s="177">
        <f t="shared" si="171"/>
        <v>0</v>
      </c>
      <c r="H504" s="189" t="s">
        <v>182</v>
      </c>
      <c r="I504" s="175">
        <v>0</v>
      </c>
      <c r="J504" s="307">
        <v>0</v>
      </c>
      <c r="K504" s="189">
        <v>0</v>
      </c>
      <c r="L504" s="179" t="s">
        <v>182</v>
      </c>
      <c r="M504" s="179" t="s">
        <v>182</v>
      </c>
      <c r="N504" s="179" t="s">
        <v>182</v>
      </c>
      <c r="O504" s="179" t="s">
        <v>182</v>
      </c>
      <c r="P504" s="179" t="s">
        <v>182</v>
      </c>
    </row>
    <row r="505" spans="1:16" ht="124.5" customHeight="1">
      <c r="A505" s="613"/>
      <c r="B505" s="580"/>
      <c r="C505" s="580"/>
      <c r="D505" s="580"/>
      <c r="E505" s="612"/>
      <c r="F505" s="178" t="s">
        <v>260</v>
      </c>
      <c r="G505" s="177">
        <f t="shared" si="171"/>
        <v>0</v>
      </c>
      <c r="H505" s="189" t="s">
        <v>182</v>
      </c>
      <c r="I505" s="175">
        <v>0</v>
      </c>
      <c r="J505" s="307">
        <v>0</v>
      </c>
      <c r="K505" s="189">
        <v>0</v>
      </c>
      <c r="L505" s="179" t="s">
        <v>182</v>
      </c>
      <c r="M505" s="179" t="s">
        <v>182</v>
      </c>
      <c r="N505" s="179" t="s">
        <v>182</v>
      </c>
      <c r="O505" s="179" t="s">
        <v>182</v>
      </c>
      <c r="P505" s="179" t="s">
        <v>182</v>
      </c>
    </row>
    <row r="506" spans="1:16" ht="21" customHeight="1">
      <c r="A506" s="608" t="s">
        <v>83</v>
      </c>
      <c r="B506" s="571" t="s">
        <v>177</v>
      </c>
      <c r="C506" s="571" t="s">
        <v>15</v>
      </c>
      <c r="D506" s="571" t="s">
        <v>306</v>
      </c>
      <c r="E506" s="610" t="s">
        <v>257</v>
      </c>
      <c r="F506" s="178" t="s">
        <v>111</v>
      </c>
      <c r="G506" s="177">
        <f t="shared" si="171"/>
        <v>0</v>
      </c>
      <c r="H506" s="189" t="s">
        <v>182</v>
      </c>
      <c r="I506" s="175">
        <v>0</v>
      </c>
      <c r="J506" s="307">
        <v>0</v>
      </c>
      <c r="K506" s="189">
        <v>0</v>
      </c>
      <c r="L506" s="179" t="s">
        <v>182</v>
      </c>
      <c r="M506" s="179" t="s">
        <v>182</v>
      </c>
      <c r="N506" s="179" t="s">
        <v>182</v>
      </c>
      <c r="O506" s="179" t="s">
        <v>182</v>
      </c>
      <c r="P506" s="179" t="s">
        <v>182</v>
      </c>
    </row>
    <row r="507" spans="1:16" ht="21.75" customHeight="1">
      <c r="A507" s="609"/>
      <c r="B507" s="572"/>
      <c r="C507" s="572"/>
      <c r="D507" s="572"/>
      <c r="E507" s="611"/>
      <c r="F507" s="178" t="s">
        <v>148</v>
      </c>
      <c r="G507" s="177">
        <f t="shared" si="171"/>
        <v>0</v>
      </c>
      <c r="H507" s="189" t="s">
        <v>182</v>
      </c>
      <c r="I507" s="175">
        <v>0</v>
      </c>
      <c r="J507" s="307">
        <v>0</v>
      </c>
      <c r="K507" s="189">
        <v>0</v>
      </c>
      <c r="L507" s="179" t="s">
        <v>182</v>
      </c>
      <c r="M507" s="179" t="s">
        <v>182</v>
      </c>
      <c r="N507" s="179" t="s">
        <v>182</v>
      </c>
      <c r="O507" s="179" t="s">
        <v>182</v>
      </c>
      <c r="P507" s="179" t="s">
        <v>182</v>
      </c>
    </row>
    <row r="508" spans="1:16" ht="26.25" customHeight="1">
      <c r="A508" s="613"/>
      <c r="B508" s="580"/>
      <c r="C508" s="580"/>
      <c r="D508" s="580"/>
      <c r="E508" s="612"/>
      <c r="F508" s="178" t="s">
        <v>260</v>
      </c>
      <c r="G508" s="177">
        <f t="shared" si="171"/>
        <v>0</v>
      </c>
      <c r="H508" s="189" t="s">
        <v>182</v>
      </c>
      <c r="I508" s="175">
        <v>0</v>
      </c>
      <c r="J508" s="307">
        <v>0</v>
      </c>
      <c r="K508" s="189">
        <v>0</v>
      </c>
      <c r="L508" s="179" t="s">
        <v>182</v>
      </c>
      <c r="M508" s="179" t="s">
        <v>182</v>
      </c>
      <c r="N508" s="179" t="s">
        <v>182</v>
      </c>
      <c r="O508" s="179" t="s">
        <v>182</v>
      </c>
      <c r="P508" s="179" t="s">
        <v>182</v>
      </c>
    </row>
    <row r="509" spans="1:16" ht="33" customHeight="1">
      <c r="A509" s="8" t="s">
        <v>83</v>
      </c>
      <c r="B509" s="9" t="s">
        <v>177</v>
      </c>
      <c r="C509" s="9" t="s">
        <v>16</v>
      </c>
      <c r="D509" s="8"/>
      <c r="E509" s="625" t="s">
        <v>313</v>
      </c>
      <c r="F509" s="624"/>
      <c r="G509" s="177">
        <f>H509+I509+J509+K509</f>
        <v>1669.87</v>
      </c>
      <c r="H509" s="177">
        <f>SUM(H510,H514,H517,H520,)</f>
        <v>0</v>
      </c>
      <c r="I509" s="177">
        <f>SUM(I510,I514,I517,I520,)</f>
        <v>869.87</v>
      </c>
      <c r="J509" s="244">
        <f>SUM(J510,J514,J517,J520,)</f>
        <v>800</v>
      </c>
      <c r="K509" s="177">
        <f>SUM(K510,K514,K517,K520,)</f>
        <v>0</v>
      </c>
      <c r="L509" s="180" t="s">
        <v>182</v>
      </c>
      <c r="M509" s="180" t="s">
        <v>182</v>
      </c>
      <c r="N509" s="180" t="s">
        <v>182</v>
      </c>
      <c r="O509" s="180" t="s">
        <v>182</v>
      </c>
      <c r="P509" s="180" t="s">
        <v>182</v>
      </c>
    </row>
    <row r="510" spans="1:16">
      <c r="A510" s="608" t="s">
        <v>83</v>
      </c>
      <c r="B510" s="571" t="s">
        <v>177</v>
      </c>
      <c r="C510" s="571" t="s">
        <v>16</v>
      </c>
      <c r="D510" s="571" t="s">
        <v>15</v>
      </c>
      <c r="E510" s="626" t="s">
        <v>188</v>
      </c>
      <c r="F510" s="178" t="s">
        <v>111</v>
      </c>
      <c r="G510" s="177">
        <f>H510+I510+J510+K510</f>
        <v>0</v>
      </c>
      <c r="H510" s="189">
        <v>0</v>
      </c>
      <c r="I510" s="175">
        <v>0</v>
      </c>
      <c r="J510" s="307">
        <v>0</v>
      </c>
      <c r="K510" s="189">
        <v>0</v>
      </c>
      <c r="L510" s="179" t="s">
        <v>182</v>
      </c>
      <c r="M510" s="179" t="s">
        <v>182</v>
      </c>
      <c r="N510" s="179" t="s">
        <v>182</v>
      </c>
      <c r="O510" s="179" t="s">
        <v>182</v>
      </c>
      <c r="P510" s="179" t="s">
        <v>182</v>
      </c>
    </row>
    <row r="511" spans="1:16" ht="22.5">
      <c r="A511" s="609"/>
      <c r="B511" s="572"/>
      <c r="C511" s="572"/>
      <c r="D511" s="572"/>
      <c r="E511" s="627"/>
      <c r="F511" s="178" t="s">
        <v>148</v>
      </c>
      <c r="G511" s="177">
        <f>H511+I511+J511+K511</f>
        <v>0</v>
      </c>
      <c r="H511" s="189">
        <v>0</v>
      </c>
      <c r="I511" s="175">
        <v>0</v>
      </c>
      <c r="J511" s="307">
        <v>0</v>
      </c>
      <c r="K511" s="189">
        <v>0</v>
      </c>
      <c r="L511" s="179" t="s">
        <v>182</v>
      </c>
      <c r="M511" s="179" t="s">
        <v>182</v>
      </c>
      <c r="N511" s="179" t="s">
        <v>182</v>
      </c>
      <c r="O511" s="179" t="s">
        <v>182</v>
      </c>
      <c r="P511" s="179" t="s">
        <v>182</v>
      </c>
    </row>
    <row r="512" spans="1:16" ht="22.5">
      <c r="A512" s="609"/>
      <c r="B512" s="572"/>
      <c r="C512" s="572"/>
      <c r="D512" s="572"/>
      <c r="E512" s="627"/>
      <c r="F512" s="178" t="s">
        <v>233</v>
      </c>
      <c r="G512" s="177">
        <f>I512+J512+K512</f>
        <v>0</v>
      </c>
      <c r="H512" s="189" t="s">
        <v>182</v>
      </c>
      <c r="I512" s="175">
        <v>0</v>
      </c>
      <c r="J512" s="307">
        <v>0</v>
      </c>
      <c r="K512" s="189">
        <v>0</v>
      </c>
      <c r="L512" s="179" t="s">
        <v>182</v>
      </c>
      <c r="M512" s="179" t="s">
        <v>182</v>
      </c>
      <c r="N512" s="179" t="s">
        <v>182</v>
      </c>
      <c r="O512" s="179" t="s">
        <v>182</v>
      </c>
      <c r="P512" s="179" t="s">
        <v>182</v>
      </c>
    </row>
    <row r="513" spans="1:16" ht="22.5">
      <c r="A513" s="613"/>
      <c r="B513" s="580"/>
      <c r="C513" s="580"/>
      <c r="D513" s="580"/>
      <c r="E513" s="628"/>
      <c r="F513" s="178" t="s">
        <v>110</v>
      </c>
      <c r="G513" s="177">
        <f>H513</f>
        <v>0</v>
      </c>
      <c r="H513" s="189">
        <v>0</v>
      </c>
      <c r="I513" s="334" t="s">
        <v>182</v>
      </c>
      <c r="J513" s="305" t="s">
        <v>182</v>
      </c>
      <c r="K513" s="179" t="s">
        <v>182</v>
      </c>
      <c r="L513" s="179" t="s">
        <v>182</v>
      </c>
      <c r="M513" s="179" t="s">
        <v>182</v>
      </c>
      <c r="N513" s="179" t="s">
        <v>182</v>
      </c>
      <c r="O513" s="179" t="s">
        <v>182</v>
      </c>
      <c r="P513" s="179" t="s">
        <v>182</v>
      </c>
    </row>
    <row r="514" spans="1:16">
      <c r="A514" s="608" t="s">
        <v>83</v>
      </c>
      <c r="B514" s="571" t="s">
        <v>177</v>
      </c>
      <c r="C514" s="571" t="s">
        <v>16</v>
      </c>
      <c r="D514" s="571" t="s">
        <v>16</v>
      </c>
      <c r="E514" s="626" t="s">
        <v>189</v>
      </c>
      <c r="F514" s="178" t="s">
        <v>111</v>
      </c>
      <c r="G514" s="177">
        <f t="shared" ref="G514:G541" si="172">H514+I514+J514+K514</f>
        <v>0</v>
      </c>
      <c r="H514" s="189">
        <v>0</v>
      </c>
      <c r="I514" s="175">
        <v>0</v>
      </c>
      <c r="J514" s="307">
        <v>0</v>
      </c>
      <c r="K514" s="189">
        <v>0</v>
      </c>
      <c r="L514" s="179" t="s">
        <v>182</v>
      </c>
      <c r="M514" s="179" t="s">
        <v>182</v>
      </c>
      <c r="N514" s="179" t="s">
        <v>182</v>
      </c>
      <c r="O514" s="179" t="s">
        <v>182</v>
      </c>
      <c r="P514" s="179" t="s">
        <v>182</v>
      </c>
    </row>
    <row r="515" spans="1:16" ht="35.25" customHeight="1">
      <c r="A515" s="609"/>
      <c r="B515" s="572"/>
      <c r="C515" s="572"/>
      <c r="D515" s="572"/>
      <c r="E515" s="627"/>
      <c r="F515" s="178" t="s">
        <v>148</v>
      </c>
      <c r="G515" s="177">
        <f t="shared" si="172"/>
        <v>0</v>
      </c>
      <c r="H515" s="189">
        <v>0</v>
      </c>
      <c r="I515" s="175">
        <v>0</v>
      </c>
      <c r="J515" s="307">
        <v>0</v>
      </c>
      <c r="K515" s="189">
        <v>0</v>
      </c>
      <c r="L515" s="179" t="s">
        <v>182</v>
      </c>
      <c r="M515" s="179" t="s">
        <v>182</v>
      </c>
      <c r="N515" s="179" t="s">
        <v>182</v>
      </c>
      <c r="O515" s="179" t="s">
        <v>182</v>
      </c>
      <c r="P515" s="179" t="s">
        <v>182</v>
      </c>
    </row>
    <row r="516" spans="1:16" ht="35.25" customHeight="1">
      <c r="A516" s="613"/>
      <c r="B516" s="580"/>
      <c r="C516" s="580"/>
      <c r="D516" s="580"/>
      <c r="E516" s="628"/>
      <c r="F516" s="178" t="s">
        <v>78</v>
      </c>
      <c r="G516" s="177">
        <f t="shared" si="172"/>
        <v>0</v>
      </c>
      <c r="H516" s="189">
        <v>0</v>
      </c>
      <c r="I516" s="175">
        <v>0</v>
      </c>
      <c r="J516" s="307">
        <v>0</v>
      </c>
      <c r="K516" s="189">
        <v>0</v>
      </c>
      <c r="L516" s="179" t="s">
        <v>182</v>
      </c>
      <c r="M516" s="179" t="s">
        <v>182</v>
      </c>
      <c r="N516" s="179" t="s">
        <v>182</v>
      </c>
      <c r="O516" s="179" t="s">
        <v>182</v>
      </c>
      <c r="P516" s="179" t="s">
        <v>182</v>
      </c>
    </row>
    <row r="517" spans="1:16" ht="33.75" customHeight="1">
      <c r="A517" s="608" t="s">
        <v>83</v>
      </c>
      <c r="B517" s="571" t="s">
        <v>177</v>
      </c>
      <c r="C517" s="571" t="s">
        <v>16</v>
      </c>
      <c r="D517" s="571" t="s">
        <v>17</v>
      </c>
      <c r="E517" s="610" t="s">
        <v>253</v>
      </c>
      <c r="F517" s="178" t="s">
        <v>111</v>
      </c>
      <c r="G517" s="177">
        <f t="shared" si="172"/>
        <v>0</v>
      </c>
      <c r="H517" s="189">
        <v>0</v>
      </c>
      <c r="I517" s="175">
        <v>0</v>
      </c>
      <c r="J517" s="307">
        <v>0</v>
      </c>
      <c r="K517" s="189">
        <v>0</v>
      </c>
      <c r="L517" s="179" t="s">
        <v>182</v>
      </c>
      <c r="M517" s="179" t="s">
        <v>182</v>
      </c>
      <c r="N517" s="179" t="s">
        <v>182</v>
      </c>
      <c r="O517" s="179" t="s">
        <v>182</v>
      </c>
      <c r="P517" s="179" t="s">
        <v>182</v>
      </c>
    </row>
    <row r="518" spans="1:16" ht="28.5" customHeight="1">
      <c r="A518" s="609"/>
      <c r="B518" s="572"/>
      <c r="C518" s="572"/>
      <c r="D518" s="572"/>
      <c r="E518" s="611"/>
      <c r="F518" s="178" t="s">
        <v>148</v>
      </c>
      <c r="G518" s="177">
        <f t="shared" si="172"/>
        <v>0</v>
      </c>
      <c r="H518" s="189">
        <v>0</v>
      </c>
      <c r="I518" s="175">
        <v>0</v>
      </c>
      <c r="J518" s="307">
        <v>0</v>
      </c>
      <c r="K518" s="189">
        <v>0</v>
      </c>
      <c r="L518" s="179" t="s">
        <v>182</v>
      </c>
      <c r="M518" s="179" t="s">
        <v>182</v>
      </c>
      <c r="N518" s="179" t="s">
        <v>182</v>
      </c>
      <c r="O518" s="179" t="s">
        <v>182</v>
      </c>
      <c r="P518" s="179" t="s">
        <v>182</v>
      </c>
    </row>
    <row r="519" spans="1:16" ht="40.5" customHeight="1">
      <c r="A519" s="613"/>
      <c r="B519" s="580"/>
      <c r="C519" s="580"/>
      <c r="D519" s="580"/>
      <c r="E519" s="612"/>
      <c r="F519" s="178" t="s">
        <v>78</v>
      </c>
      <c r="G519" s="177">
        <f t="shared" si="172"/>
        <v>0</v>
      </c>
      <c r="H519" s="189">
        <v>0</v>
      </c>
      <c r="I519" s="175">
        <v>0</v>
      </c>
      <c r="J519" s="307">
        <v>0</v>
      </c>
      <c r="K519" s="189">
        <v>0</v>
      </c>
      <c r="L519" s="179" t="s">
        <v>182</v>
      </c>
      <c r="M519" s="179" t="s">
        <v>182</v>
      </c>
      <c r="N519" s="179" t="s">
        <v>182</v>
      </c>
      <c r="O519" s="179" t="s">
        <v>182</v>
      </c>
      <c r="P519" s="179" t="s">
        <v>182</v>
      </c>
    </row>
    <row r="520" spans="1:16" ht="21.75" customHeight="1">
      <c r="A520" s="608" t="s">
        <v>83</v>
      </c>
      <c r="B520" s="571" t="s">
        <v>177</v>
      </c>
      <c r="C520" s="571" t="s">
        <v>16</v>
      </c>
      <c r="D520" s="571" t="s">
        <v>18</v>
      </c>
      <c r="E520" s="610" t="s">
        <v>312</v>
      </c>
      <c r="F520" s="178" t="s">
        <v>111</v>
      </c>
      <c r="G520" s="177">
        <f t="shared" si="172"/>
        <v>1669.87</v>
      </c>
      <c r="H520" s="189">
        <v>0</v>
      </c>
      <c r="I520" s="175">
        <f>I521</f>
        <v>869.87</v>
      </c>
      <c r="J520" s="307">
        <f>J521</f>
        <v>800</v>
      </c>
      <c r="K520" s="189">
        <v>0</v>
      </c>
      <c r="L520" s="179" t="s">
        <v>182</v>
      </c>
      <c r="M520" s="179" t="s">
        <v>182</v>
      </c>
      <c r="N520" s="179" t="s">
        <v>182</v>
      </c>
      <c r="O520" s="179" t="s">
        <v>182</v>
      </c>
      <c r="P520" s="179" t="s">
        <v>182</v>
      </c>
    </row>
    <row r="521" spans="1:16" ht="35.25" customHeight="1">
      <c r="A521" s="609"/>
      <c r="B521" s="572"/>
      <c r="C521" s="572"/>
      <c r="D521" s="572"/>
      <c r="E521" s="611"/>
      <c r="F521" s="178" t="s">
        <v>148</v>
      </c>
      <c r="G521" s="177">
        <f t="shared" si="172"/>
        <v>1669.87</v>
      </c>
      <c r="H521" s="189">
        <v>0</v>
      </c>
      <c r="I521" s="175">
        <f>I522+I523</f>
        <v>869.87</v>
      </c>
      <c r="J521" s="307">
        <f>J523</f>
        <v>800</v>
      </c>
      <c r="K521" s="189">
        <v>0</v>
      </c>
      <c r="L521" s="179" t="s">
        <v>182</v>
      </c>
      <c r="M521" s="179" t="s">
        <v>182</v>
      </c>
      <c r="N521" s="179" t="s">
        <v>182</v>
      </c>
      <c r="O521" s="179" t="s">
        <v>182</v>
      </c>
      <c r="P521" s="179" t="s">
        <v>182</v>
      </c>
    </row>
    <row r="522" spans="1:16" ht="35.25" customHeight="1">
      <c r="A522" s="609"/>
      <c r="B522" s="572"/>
      <c r="C522" s="572"/>
      <c r="D522" s="572"/>
      <c r="E522" s="611"/>
      <c r="F522" s="178" t="s">
        <v>233</v>
      </c>
      <c r="G522" s="177">
        <f t="shared" si="172"/>
        <v>400</v>
      </c>
      <c r="H522" s="189">
        <v>0</v>
      </c>
      <c r="I522" s="175">
        <v>400</v>
      </c>
      <c r="J522" s="307">
        <v>0</v>
      </c>
      <c r="K522" s="189">
        <v>0</v>
      </c>
      <c r="L522" s="179"/>
      <c r="M522" s="179"/>
      <c r="N522" s="179"/>
      <c r="O522" s="179"/>
      <c r="P522" s="179"/>
    </row>
    <row r="523" spans="1:16" ht="44.25" customHeight="1">
      <c r="A523" s="613"/>
      <c r="B523" s="580"/>
      <c r="C523" s="580"/>
      <c r="D523" s="580"/>
      <c r="E523" s="612"/>
      <c r="F523" s="178" t="s">
        <v>78</v>
      </c>
      <c r="G523" s="177">
        <f t="shared" si="172"/>
        <v>1269.8699999999999</v>
      </c>
      <c r="H523" s="189">
        <v>0</v>
      </c>
      <c r="I523" s="175">
        <v>469.87</v>
      </c>
      <c r="J523" s="307">
        <v>800</v>
      </c>
      <c r="K523" s="189">
        <v>0</v>
      </c>
      <c r="L523" s="179" t="s">
        <v>182</v>
      </c>
      <c r="M523" s="179" t="s">
        <v>182</v>
      </c>
      <c r="N523" s="179" t="s">
        <v>182</v>
      </c>
      <c r="O523" s="179" t="s">
        <v>182</v>
      </c>
      <c r="P523" s="179" t="s">
        <v>182</v>
      </c>
    </row>
    <row r="524" spans="1:16" ht="33" customHeight="1">
      <c r="A524" s="608" t="s">
        <v>83</v>
      </c>
      <c r="B524" s="571" t="s">
        <v>177</v>
      </c>
      <c r="C524" s="571" t="s">
        <v>16</v>
      </c>
      <c r="D524" s="571" t="s">
        <v>29</v>
      </c>
      <c r="E524" s="610" t="s">
        <v>446</v>
      </c>
      <c r="F524" s="178" t="s">
        <v>111</v>
      </c>
      <c r="G524" s="177">
        <f t="shared" ref="G524:G529" si="173">H524+I524+J524+K524</f>
        <v>0</v>
      </c>
      <c r="H524" s="189">
        <v>0</v>
      </c>
      <c r="I524" s="175">
        <v>0</v>
      </c>
      <c r="J524" s="307">
        <v>0</v>
      </c>
      <c r="K524" s="189">
        <v>0</v>
      </c>
      <c r="L524" s="179" t="s">
        <v>182</v>
      </c>
      <c r="M524" s="179" t="s">
        <v>182</v>
      </c>
      <c r="N524" s="179" t="s">
        <v>182</v>
      </c>
      <c r="O524" s="179" t="s">
        <v>182</v>
      </c>
      <c r="P524" s="179" t="s">
        <v>182</v>
      </c>
    </row>
    <row r="525" spans="1:16" ht="31.5" customHeight="1">
      <c r="A525" s="609"/>
      <c r="B525" s="572"/>
      <c r="C525" s="572"/>
      <c r="D525" s="572"/>
      <c r="E525" s="611"/>
      <c r="F525" s="178" t="s">
        <v>148</v>
      </c>
      <c r="G525" s="177">
        <f t="shared" si="173"/>
        <v>0</v>
      </c>
      <c r="H525" s="189">
        <v>0</v>
      </c>
      <c r="I525" s="175">
        <v>0</v>
      </c>
      <c r="J525" s="307">
        <v>0</v>
      </c>
      <c r="K525" s="189">
        <v>0</v>
      </c>
      <c r="L525" s="179" t="s">
        <v>182</v>
      </c>
      <c r="M525" s="179" t="s">
        <v>182</v>
      </c>
      <c r="N525" s="179" t="s">
        <v>182</v>
      </c>
      <c r="O525" s="179" t="s">
        <v>182</v>
      </c>
      <c r="P525" s="179" t="s">
        <v>182</v>
      </c>
    </row>
    <row r="526" spans="1:16" ht="31.5" customHeight="1">
      <c r="A526" s="613"/>
      <c r="B526" s="580"/>
      <c r="C526" s="580"/>
      <c r="D526" s="580"/>
      <c r="E526" s="612"/>
      <c r="F526" s="178" t="s">
        <v>78</v>
      </c>
      <c r="G526" s="177">
        <f t="shared" si="173"/>
        <v>0</v>
      </c>
      <c r="H526" s="189">
        <v>0</v>
      </c>
      <c r="I526" s="175">
        <v>0</v>
      </c>
      <c r="J526" s="307">
        <v>0</v>
      </c>
      <c r="K526" s="189">
        <v>0</v>
      </c>
      <c r="L526" s="179" t="s">
        <v>182</v>
      </c>
      <c r="M526" s="179" t="s">
        <v>182</v>
      </c>
      <c r="N526" s="179" t="s">
        <v>182</v>
      </c>
      <c r="O526" s="179" t="s">
        <v>182</v>
      </c>
      <c r="P526" s="179" t="s">
        <v>182</v>
      </c>
    </row>
    <row r="527" spans="1:16" ht="50.25" customHeight="1">
      <c r="A527" s="608" t="s">
        <v>83</v>
      </c>
      <c r="B527" s="571" t="s">
        <v>177</v>
      </c>
      <c r="C527" s="571" t="s">
        <v>16</v>
      </c>
      <c r="D527" s="571" t="s">
        <v>28</v>
      </c>
      <c r="E527" s="610" t="s">
        <v>436</v>
      </c>
      <c r="F527" s="178" t="s">
        <v>111</v>
      </c>
      <c r="G527" s="177">
        <f t="shared" si="173"/>
        <v>0</v>
      </c>
      <c r="H527" s="189">
        <v>0</v>
      </c>
      <c r="I527" s="175">
        <v>0</v>
      </c>
      <c r="J527" s="307">
        <v>0</v>
      </c>
      <c r="K527" s="189">
        <v>0</v>
      </c>
      <c r="L527" s="179" t="s">
        <v>182</v>
      </c>
      <c r="M527" s="179" t="s">
        <v>182</v>
      </c>
      <c r="N527" s="179" t="s">
        <v>182</v>
      </c>
      <c r="O527" s="179" t="s">
        <v>182</v>
      </c>
      <c r="P527" s="179" t="s">
        <v>182</v>
      </c>
    </row>
    <row r="528" spans="1:16" ht="31.5" customHeight="1">
      <c r="A528" s="609"/>
      <c r="B528" s="572"/>
      <c r="C528" s="572"/>
      <c r="D528" s="572"/>
      <c r="E528" s="611"/>
      <c r="F528" s="178" t="s">
        <v>148</v>
      </c>
      <c r="G528" s="177">
        <f t="shared" si="173"/>
        <v>0</v>
      </c>
      <c r="H528" s="189">
        <v>0</v>
      </c>
      <c r="I528" s="175">
        <v>0</v>
      </c>
      <c r="J528" s="307">
        <v>0</v>
      </c>
      <c r="K528" s="189">
        <v>0</v>
      </c>
      <c r="L528" s="179" t="s">
        <v>182</v>
      </c>
      <c r="M528" s="179" t="s">
        <v>182</v>
      </c>
      <c r="N528" s="179" t="s">
        <v>182</v>
      </c>
      <c r="O528" s="179" t="s">
        <v>182</v>
      </c>
      <c r="P528" s="179" t="s">
        <v>182</v>
      </c>
    </row>
    <row r="529" spans="1:16" ht="56.25" customHeight="1">
      <c r="A529" s="613"/>
      <c r="B529" s="580"/>
      <c r="C529" s="580"/>
      <c r="D529" s="580"/>
      <c r="E529" s="612"/>
      <c r="F529" s="178" t="s">
        <v>78</v>
      </c>
      <c r="G529" s="177">
        <f t="shared" si="173"/>
        <v>0</v>
      </c>
      <c r="H529" s="189">
        <v>0</v>
      </c>
      <c r="I529" s="175">
        <v>0</v>
      </c>
      <c r="J529" s="307">
        <v>0</v>
      </c>
      <c r="K529" s="189">
        <v>0</v>
      </c>
      <c r="L529" s="179" t="s">
        <v>182</v>
      </c>
      <c r="M529" s="179" t="s">
        <v>182</v>
      </c>
      <c r="N529" s="179" t="s">
        <v>182</v>
      </c>
      <c r="O529" s="179" t="s">
        <v>182</v>
      </c>
      <c r="P529" s="179" t="s">
        <v>182</v>
      </c>
    </row>
    <row r="530" spans="1:16" ht="30.75" customHeight="1">
      <c r="A530" s="608" t="s">
        <v>83</v>
      </c>
      <c r="B530" s="571" t="s">
        <v>177</v>
      </c>
      <c r="C530" s="571" t="s">
        <v>16</v>
      </c>
      <c r="D530" s="571" t="s">
        <v>13</v>
      </c>
      <c r="E530" s="610" t="s">
        <v>437</v>
      </c>
      <c r="F530" s="178" t="s">
        <v>111</v>
      </c>
      <c r="G530" s="177">
        <f t="shared" ref="G530:G535" si="174">H530+I530+J530+K530</f>
        <v>0</v>
      </c>
      <c r="H530" s="189">
        <v>0</v>
      </c>
      <c r="I530" s="175">
        <v>0</v>
      </c>
      <c r="J530" s="307">
        <v>0</v>
      </c>
      <c r="K530" s="189">
        <v>0</v>
      </c>
      <c r="L530" s="179" t="s">
        <v>182</v>
      </c>
      <c r="M530" s="179" t="s">
        <v>182</v>
      </c>
      <c r="N530" s="179" t="s">
        <v>182</v>
      </c>
      <c r="O530" s="179" t="s">
        <v>182</v>
      </c>
      <c r="P530" s="179" t="s">
        <v>182</v>
      </c>
    </row>
    <row r="531" spans="1:16" ht="21" customHeight="1">
      <c r="A531" s="609"/>
      <c r="B531" s="572"/>
      <c r="C531" s="572"/>
      <c r="D531" s="572"/>
      <c r="E531" s="611"/>
      <c r="F531" s="178" t="s">
        <v>148</v>
      </c>
      <c r="G531" s="177">
        <f t="shared" si="174"/>
        <v>0</v>
      </c>
      <c r="H531" s="189">
        <v>0</v>
      </c>
      <c r="I531" s="175">
        <v>0</v>
      </c>
      <c r="J531" s="307">
        <v>0</v>
      </c>
      <c r="K531" s="189">
        <v>0</v>
      </c>
      <c r="L531" s="179" t="s">
        <v>182</v>
      </c>
      <c r="M531" s="179" t="s">
        <v>182</v>
      </c>
      <c r="N531" s="179" t="s">
        <v>182</v>
      </c>
      <c r="O531" s="179" t="s">
        <v>182</v>
      </c>
      <c r="P531" s="179" t="s">
        <v>182</v>
      </c>
    </row>
    <row r="532" spans="1:16" ht="32.25" customHeight="1">
      <c r="A532" s="613"/>
      <c r="B532" s="580"/>
      <c r="C532" s="580"/>
      <c r="D532" s="580"/>
      <c r="E532" s="612"/>
      <c r="F532" s="178" t="s">
        <v>78</v>
      </c>
      <c r="G532" s="177">
        <f t="shared" si="174"/>
        <v>0</v>
      </c>
      <c r="H532" s="189">
        <v>0</v>
      </c>
      <c r="I532" s="175">
        <v>0</v>
      </c>
      <c r="J532" s="307">
        <v>0</v>
      </c>
      <c r="K532" s="189">
        <v>0</v>
      </c>
      <c r="L532" s="179" t="s">
        <v>182</v>
      </c>
      <c r="M532" s="179" t="s">
        <v>182</v>
      </c>
      <c r="N532" s="179" t="s">
        <v>182</v>
      </c>
      <c r="O532" s="179" t="s">
        <v>182</v>
      </c>
      <c r="P532" s="179" t="s">
        <v>182</v>
      </c>
    </row>
    <row r="533" spans="1:16" ht="30.75" customHeight="1">
      <c r="A533" s="608" t="s">
        <v>83</v>
      </c>
      <c r="B533" s="571" t="s">
        <v>177</v>
      </c>
      <c r="C533" s="571" t="s">
        <v>16</v>
      </c>
      <c r="D533" s="571" t="s">
        <v>30</v>
      </c>
      <c r="E533" s="610" t="s">
        <v>438</v>
      </c>
      <c r="F533" s="178" t="s">
        <v>111</v>
      </c>
      <c r="G533" s="177">
        <f t="shared" si="174"/>
        <v>0</v>
      </c>
      <c r="H533" s="189">
        <v>0</v>
      </c>
      <c r="I533" s="175">
        <v>0</v>
      </c>
      <c r="J533" s="307">
        <v>0</v>
      </c>
      <c r="K533" s="189">
        <v>0</v>
      </c>
      <c r="L533" s="179" t="s">
        <v>182</v>
      </c>
      <c r="M533" s="179" t="s">
        <v>182</v>
      </c>
      <c r="N533" s="179" t="s">
        <v>182</v>
      </c>
      <c r="O533" s="179" t="s">
        <v>182</v>
      </c>
      <c r="P533" s="179" t="s">
        <v>182</v>
      </c>
    </row>
    <row r="534" spans="1:16" ht="30.75" customHeight="1">
      <c r="A534" s="609"/>
      <c r="B534" s="572"/>
      <c r="C534" s="572"/>
      <c r="D534" s="572"/>
      <c r="E534" s="611"/>
      <c r="F534" s="178" t="s">
        <v>148</v>
      </c>
      <c r="G534" s="177">
        <f t="shared" si="174"/>
        <v>0</v>
      </c>
      <c r="H534" s="189">
        <v>0</v>
      </c>
      <c r="I534" s="175">
        <v>0</v>
      </c>
      <c r="J534" s="307">
        <v>0</v>
      </c>
      <c r="K534" s="189">
        <v>0</v>
      </c>
      <c r="L534" s="179" t="s">
        <v>182</v>
      </c>
      <c r="M534" s="179" t="s">
        <v>182</v>
      </c>
      <c r="N534" s="179" t="s">
        <v>182</v>
      </c>
      <c r="O534" s="179" t="s">
        <v>182</v>
      </c>
      <c r="P534" s="179" t="s">
        <v>182</v>
      </c>
    </row>
    <row r="535" spans="1:16" ht="45.75" customHeight="1">
      <c r="A535" s="613"/>
      <c r="B535" s="580"/>
      <c r="C535" s="580"/>
      <c r="D535" s="580"/>
      <c r="E535" s="612"/>
      <c r="F535" s="178" t="s">
        <v>78</v>
      </c>
      <c r="G535" s="177">
        <f t="shared" si="174"/>
        <v>0</v>
      </c>
      <c r="H535" s="189">
        <v>0</v>
      </c>
      <c r="I535" s="175">
        <v>0</v>
      </c>
      <c r="J535" s="307">
        <v>0</v>
      </c>
      <c r="K535" s="189">
        <v>0</v>
      </c>
      <c r="L535" s="179" t="s">
        <v>182</v>
      </c>
      <c r="M535" s="179" t="s">
        <v>182</v>
      </c>
      <c r="N535" s="179" t="s">
        <v>182</v>
      </c>
      <c r="O535" s="179" t="s">
        <v>182</v>
      </c>
      <c r="P535" s="179" t="s">
        <v>182</v>
      </c>
    </row>
    <row r="536" spans="1:16" ht="21" customHeight="1">
      <c r="A536" s="9" t="s">
        <v>83</v>
      </c>
      <c r="B536" s="9" t="s">
        <v>177</v>
      </c>
      <c r="C536" s="9" t="s">
        <v>17</v>
      </c>
      <c r="D536" s="8"/>
      <c r="E536" s="625" t="s">
        <v>314</v>
      </c>
      <c r="F536" s="624"/>
      <c r="G536" s="177">
        <f t="shared" si="172"/>
        <v>0</v>
      </c>
      <c r="H536" s="177">
        <f>SUM(H537,H540,H544,H547,H550)</f>
        <v>0</v>
      </c>
      <c r="I536" s="177">
        <f>SUM(I537,I540,I544,I547,I550)</f>
        <v>0</v>
      </c>
      <c r="J536" s="244">
        <f>SUM(J537,J540,J544,J547,J550)</f>
        <v>0</v>
      </c>
      <c r="K536" s="177">
        <f>SUM(K537,K540,K544,K547,K550)</f>
        <v>0</v>
      </c>
      <c r="L536" s="180" t="s">
        <v>182</v>
      </c>
      <c r="M536" s="180" t="s">
        <v>182</v>
      </c>
      <c r="N536" s="180" t="s">
        <v>182</v>
      </c>
      <c r="O536" s="180" t="s">
        <v>182</v>
      </c>
      <c r="P536" s="180" t="s">
        <v>182</v>
      </c>
    </row>
    <row r="537" spans="1:16">
      <c r="A537" s="571" t="s">
        <v>83</v>
      </c>
      <c r="B537" s="571" t="s">
        <v>177</v>
      </c>
      <c r="C537" s="571" t="s">
        <v>17</v>
      </c>
      <c r="D537" s="555" t="s">
        <v>15</v>
      </c>
      <c r="E537" s="626" t="s">
        <v>190</v>
      </c>
      <c r="F537" s="178" t="s">
        <v>111</v>
      </c>
      <c r="G537" s="177">
        <f t="shared" si="172"/>
        <v>0</v>
      </c>
      <c r="H537" s="189">
        <v>0</v>
      </c>
      <c r="I537" s="175">
        <v>0</v>
      </c>
      <c r="J537" s="307">
        <v>0</v>
      </c>
      <c r="K537" s="189">
        <v>0</v>
      </c>
      <c r="L537" s="179" t="s">
        <v>182</v>
      </c>
      <c r="M537" s="179" t="s">
        <v>182</v>
      </c>
      <c r="N537" s="179" t="s">
        <v>182</v>
      </c>
      <c r="O537" s="179" t="s">
        <v>182</v>
      </c>
      <c r="P537" s="179" t="s">
        <v>182</v>
      </c>
    </row>
    <row r="538" spans="1:16" ht="22.5">
      <c r="A538" s="572"/>
      <c r="B538" s="572"/>
      <c r="C538" s="572"/>
      <c r="D538" s="556"/>
      <c r="E538" s="627"/>
      <c r="F538" s="178" t="s">
        <v>148</v>
      </c>
      <c r="G538" s="177">
        <f t="shared" si="172"/>
        <v>0</v>
      </c>
      <c r="H538" s="189">
        <v>0</v>
      </c>
      <c r="I538" s="175">
        <v>0</v>
      </c>
      <c r="J538" s="307">
        <v>0</v>
      </c>
      <c r="K538" s="189">
        <v>0</v>
      </c>
      <c r="L538" s="179" t="s">
        <v>182</v>
      </c>
      <c r="M538" s="179" t="s">
        <v>182</v>
      </c>
      <c r="N538" s="179" t="s">
        <v>182</v>
      </c>
      <c r="O538" s="179" t="s">
        <v>182</v>
      </c>
      <c r="P538" s="179" t="s">
        <v>182</v>
      </c>
    </row>
    <row r="539" spans="1:16" ht="22.5">
      <c r="A539" s="580"/>
      <c r="B539" s="580"/>
      <c r="C539" s="580"/>
      <c r="D539" s="573"/>
      <c r="E539" s="628"/>
      <c r="F539" s="178" t="s">
        <v>78</v>
      </c>
      <c r="G539" s="177">
        <f t="shared" si="172"/>
        <v>0</v>
      </c>
      <c r="H539" s="189">
        <v>0</v>
      </c>
      <c r="I539" s="175">
        <v>0</v>
      </c>
      <c r="J539" s="307">
        <v>0</v>
      </c>
      <c r="K539" s="189">
        <v>0</v>
      </c>
      <c r="L539" s="179" t="s">
        <v>182</v>
      </c>
      <c r="M539" s="179" t="s">
        <v>182</v>
      </c>
      <c r="N539" s="179" t="s">
        <v>182</v>
      </c>
      <c r="O539" s="179" t="s">
        <v>182</v>
      </c>
      <c r="P539" s="179" t="s">
        <v>182</v>
      </c>
    </row>
    <row r="540" spans="1:16">
      <c r="A540" s="571" t="s">
        <v>83</v>
      </c>
      <c r="B540" s="571" t="s">
        <v>177</v>
      </c>
      <c r="C540" s="571" t="s">
        <v>17</v>
      </c>
      <c r="D540" s="555" t="s">
        <v>16</v>
      </c>
      <c r="E540" s="626" t="s">
        <v>197</v>
      </c>
      <c r="F540" s="178" t="s">
        <v>111</v>
      </c>
      <c r="G540" s="177">
        <f t="shared" si="172"/>
        <v>0</v>
      </c>
      <c r="H540" s="189">
        <v>0</v>
      </c>
      <c r="I540" s="175">
        <v>0</v>
      </c>
      <c r="J540" s="307">
        <v>0</v>
      </c>
      <c r="K540" s="189">
        <v>0</v>
      </c>
      <c r="L540" s="179" t="s">
        <v>182</v>
      </c>
      <c r="M540" s="179" t="s">
        <v>182</v>
      </c>
      <c r="N540" s="179" t="s">
        <v>182</v>
      </c>
      <c r="O540" s="179" t="s">
        <v>182</v>
      </c>
      <c r="P540" s="179" t="s">
        <v>182</v>
      </c>
    </row>
    <row r="541" spans="1:16" ht="22.5">
      <c r="A541" s="572"/>
      <c r="B541" s="572"/>
      <c r="C541" s="572"/>
      <c r="D541" s="556"/>
      <c r="E541" s="627"/>
      <c r="F541" s="178" t="s">
        <v>148</v>
      </c>
      <c r="G541" s="177">
        <f t="shared" si="172"/>
        <v>0</v>
      </c>
      <c r="H541" s="189">
        <v>0</v>
      </c>
      <c r="I541" s="175">
        <v>0</v>
      </c>
      <c r="J541" s="307">
        <v>0</v>
      </c>
      <c r="K541" s="189">
        <v>0</v>
      </c>
      <c r="L541" s="179" t="s">
        <v>182</v>
      </c>
      <c r="M541" s="179" t="s">
        <v>182</v>
      </c>
      <c r="N541" s="179" t="s">
        <v>182</v>
      </c>
      <c r="O541" s="179" t="s">
        <v>182</v>
      </c>
      <c r="P541" s="179" t="s">
        <v>182</v>
      </c>
    </row>
    <row r="542" spans="1:16" ht="22.5">
      <c r="A542" s="572"/>
      <c r="B542" s="572"/>
      <c r="C542" s="572"/>
      <c r="D542" s="556"/>
      <c r="E542" s="627"/>
      <c r="F542" s="178" t="s">
        <v>260</v>
      </c>
      <c r="G542" s="177">
        <f>I542+J542+K542</f>
        <v>0</v>
      </c>
      <c r="H542" s="189" t="s">
        <v>182</v>
      </c>
      <c r="I542" s="175">
        <v>0</v>
      </c>
      <c r="J542" s="307">
        <v>0</v>
      </c>
      <c r="K542" s="189">
        <v>0</v>
      </c>
      <c r="L542" s="179" t="s">
        <v>182</v>
      </c>
      <c r="M542" s="179" t="s">
        <v>182</v>
      </c>
      <c r="N542" s="179" t="s">
        <v>182</v>
      </c>
      <c r="O542" s="179" t="s">
        <v>182</v>
      </c>
      <c r="P542" s="179" t="s">
        <v>182</v>
      </c>
    </row>
    <row r="543" spans="1:16" ht="22.5">
      <c r="A543" s="580"/>
      <c r="B543" s="580"/>
      <c r="C543" s="580"/>
      <c r="D543" s="573"/>
      <c r="E543" s="628"/>
      <c r="F543" s="178" t="s">
        <v>110</v>
      </c>
      <c r="G543" s="177">
        <f>H543</f>
        <v>0</v>
      </c>
      <c r="H543" s="189">
        <v>0</v>
      </c>
      <c r="I543" s="334" t="s">
        <v>182</v>
      </c>
      <c r="J543" s="305" t="s">
        <v>182</v>
      </c>
      <c r="K543" s="179" t="s">
        <v>182</v>
      </c>
      <c r="L543" s="179" t="s">
        <v>182</v>
      </c>
      <c r="M543" s="179" t="s">
        <v>182</v>
      </c>
      <c r="N543" s="179" t="s">
        <v>182</v>
      </c>
      <c r="O543" s="179" t="s">
        <v>182</v>
      </c>
      <c r="P543" s="179" t="s">
        <v>182</v>
      </c>
    </row>
    <row r="544" spans="1:16" ht="27.75" customHeight="1">
      <c r="A544" s="571" t="s">
        <v>83</v>
      </c>
      <c r="B544" s="571" t="s">
        <v>177</v>
      </c>
      <c r="C544" s="571" t="s">
        <v>17</v>
      </c>
      <c r="D544" s="555" t="s">
        <v>17</v>
      </c>
      <c r="E544" s="626" t="s">
        <v>573</v>
      </c>
      <c r="F544" s="178" t="s">
        <v>111</v>
      </c>
      <c r="G544" s="177">
        <f t="shared" ref="G544:G552" si="175">H544+I544+J544+K544</f>
        <v>0</v>
      </c>
      <c r="H544" s="189">
        <v>0</v>
      </c>
      <c r="I544" s="175">
        <v>0</v>
      </c>
      <c r="J544" s="307">
        <v>0</v>
      </c>
      <c r="K544" s="189">
        <v>0</v>
      </c>
      <c r="L544" s="179" t="s">
        <v>182</v>
      </c>
      <c r="M544" s="179" t="s">
        <v>182</v>
      </c>
      <c r="N544" s="179" t="s">
        <v>182</v>
      </c>
      <c r="O544" s="179" t="s">
        <v>182</v>
      </c>
      <c r="P544" s="179" t="s">
        <v>182</v>
      </c>
    </row>
    <row r="545" spans="1:16" ht="32.25" customHeight="1">
      <c r="A545" s="572"/>
      <c r="B545" s="572"/>
      <c r="C545" s="572"/>
      <c r="D545" s="556"/>
      <c r="E545" s="627"/>
      <c r="F545" s="178" t="s">
        <v>148</v>
      </c>
      <c r="G545" s="177">
        <f t="shared" si="175"/>
        <v>0</v>
      </c>
      <c r="H545" s="189">
        <v>0</v>
      </c>
      <c r="I545" s="175">
        <v>0</v>
      </c>
      <c r="J545" s="307">
        <v>0</v>
      </c>
      <c r="K545" s="189">
        <v>0</v>
      </c>
      <c r="L545" s="179" t="s">
        <v>182</v>
      </c>
      <c r="M545" s="179" t="s">
        <v>182</v>
      </c>
      <c r="N545" s="179" t="s">
        <v>182</v>
      </c>
      <c r="O545" s="179" t="s">
        <v>182</v>
      </c>
      <c r="P545" s="179" t="s">
        <v>182</v>
      </c>
    </row>
    <row r="546" spans="1:16" ht="30.75" customHeight="1">
      <c r="A546" s="580"/>
      <c r="B546" s="580"/>
      <c r="C546" s="580"/>
      <c r="D546" s="573"/>
      <c r="E546" s="628"/>
      <c r="F546" s="178" t="s">
        <v>78</v>
      </c>
      <c r="G546" s="177">
        <f t="shared" si="175"/>
        <v>0</v>
      </c>
      <c r="H546" s="189">
        <v>0</v>
      </c>
      <c r="I546" s="175">
        <v>0</v>
      </c>
      <c r="J546" s="307">
        <v>0</v>
      </c>
      <c r="K546" s="189">
        <v>0</v>
      </c>
      <c r="L546" s="179" t="s">
        <v>182</v>
      </c>
      <c r="M546" s="179" t="s">
        <v>182</v>
      </c>
      <c r="N546" s="179" t="s">
        <v>182</v>
      </c>
      <c r="O546" s="179" t="s">
        <v>182</v>
      </c>
      <c r="P546" s="179" t="s">
        <v>182</v>
      </c>
    </row>
    <row r="547" spans="1:16" ht="21.75" customHeight="1">
      <c r="A547" s="571" t="s">
        <v>83</v>
      </c>
      <c r="B547" s="571" t="s">
        <v>177</v>
      </c>
      <c r="C547" s="571" t="s">
        <v>17</v>
      </c>
      <c r="D547" s="555" t="s">
        <v>18</v>
      </c>
      <c r="E547" s="626" t="s">
        <v>176</v>
      </c>
      <c r="F547" s="178" t="s">
        <v>111</v>
      </c>
      <c r="G547" s="177">
        <f t="shared" si="175"/>
        <v>0</v>
      </c>
      <c r="H547" s="189">
        <v>0</v>
      </c>
      <c r="I547" s="175">
        <v>0</v>
      </c>
      <c r="J547" s="307">
        <v>0</v>
      </c>
      <c r="K547" s="189">
        <v>0</v>
      </c>
      <c r="L547" s="179" t="s">
        <v>182</v>
      </c>
      <c r="M547" s="179" t="s">
        <v>182</v>
      </c>
      <c r="N547" s="179" t="s">
        <v>182</v>
      </c>
      <c r="O547" s="179" t="s">
        <v>182</v>
      </c>
      <c r="P547" s="179" t="s">
        <v>182</v>
      </c>
    </row>
    <row r="548" spans="1:16" ht="33" customHeight="1">
      <c r="A548" s="572"/>
      <c r="B548" s="572"/>
      <c r="C548" s="572"/>
      <c r="D548" s="556"/>
      <c r="E548" s="627"/>
      <c r="F548" s="178" t="s">
        <v>148</v>
      </c>
      <c r="G548" s="177">
        <f t="shared" si="175"/>
        <v>0</v>
      </c>
      <c r="H548" s="189">
        <v>0</v>
      </c>
      <c r="I548" s="175">
        <v>0</v>
      </c>
      <c r="J548" s="307">
        <v>0</v>
      </c>
      <c r="K548" s="189">
        <v>0</v>
      </c>
      <c r="L548" s="179" t="s">
        <v>182</v>
      </c>
      <c r="M548" s="179" t="s">
        <v>182</v>
      </c>
      <c r="N548" s="179" t="s">
        <v>182</v>
      </c>
      <c r="O548" s="179" t="s">
        <v>182</v>
      </c>
      <c r="P548" s="179" t="s">
        <v>182</v>
      </c>
    </row>
    <row r="549" spans="1:16" ht="36" customHeight="1">
      <c r="A549" s="580"/>
      <c r="B549" s="580"/>
      <c r="C549" s="580"/>
      <c r="D549" s="573"/>
      <c r="E549" s="628"/>
      <c r="F549" s="178" t="s">
        <v>78</v>
      </c>
      <c r="G549" s="177">
        <f t="shared" si="175"/>
        <v>0</v>
      </c>
      <c r="H549" s="189">
        <v>0</v>
      </c>
      <c r="I549" s="175">
        <v>0</v>
      </c>
      <c r="J549" s="307">
        <v>0</v>
      </c>
      <c r="K549" s="189">
        <v>0</v>
      </c>
      <c r="L549" s="179" t="s">
        <v>182</v>
      </c>
      <c r="M549" s="179" t="s">
        <v>182</v>
      </c>
      <c r="N549" s="179" t="s">
        <v>182</v>
      </c>
      <c r="O549" s="179" t="s">
        <v>182</v>
      </c>
      <c r="P549" s="179" t="s">
        <v>182</v>
      </c>
    </row>
    <row r="550" spans="1:16">
      <c r="A550" s="571" t="s">
        <v>83</v>
      </c>
      <c r="B550" s="571" t="s">
        <v>177</v>
      </c>
      <c r="C550" s="571" t="s">
        <v>17</v>
      </c>
      <c r="D550" s="608" t="s">
        <v>29</v>
      </c>
      <c r="E550" s="610" t="s">
        <v>191</v>
      </c>
      <c r="F550" s="178" t="s">
        <v>111</v>
      </c>
      <c r="G550" s="177">
        <f t="shared" si="175"/>
        <v>0</v>
      </c>
      <c r="H550" s="189">
        <v>0</v>
      </c>
      <c r="I550" s="175">
        <v>0</v>
      </c>
      <c r="J550" s="307">
        <v>0</v>
      </c>
      <c r="K550" s="189">
        <v>0</v>
      </c>
      <c r="L550" s="179" t="s">
        <v>182</v>
      </c>
      <c r="M550" s="179" t="s">
        <v>182</v>
      </c>
      <c r="N550" s="179" t="s">
        <v>182</v>
      </c>
      <c r="O550" s="179" t="s">
        <v>182</v>
      </c>
      <c r="P550" s="179" t="s">
        <v>182</v>
      </c>
    </row>
    <row r="551" spans="1:16" ht="28.5" customHeight="1">
      <c r="A551" s="572"/>
      <c r="B551" s="572"/>
      <c r="C551" s="572"/>
      <c r="D551" s="609"/>
      <c r="E551" s="611"/>
      <c r="F551" s="178" t="s">
        <v>148</v>
      </c>
      <c r="G551" s="177">
        <f t="shared" si="175"/>
        <v>0</v>
      </c>
      <c r="H551" s="189">
        <v>0</v>
      </c>
      <c r="I551" s="175">
        <v>0</v>
      </c>
      <c r="J551" s="307">
        <v>0</v>
      </c>
      <c r="K551" s="189">
        <v>0</v>
      </c>
      <c r="L551" s="179" t="s">
        <v>182</v>
      </c>
      <c r="M551" s="179" t="s">
        <v>182</v>
      </c>
      <c r="N551" s="179" t="s">
        <v>182</v>
      </c>
      <c r="O551" s="179" t="s">
        <v>182</v>
      </c>
      <c r="P551" s="179" t="s">
        <v>182</v>
      </c>
    </row>
    <row r="552" spans="1:16" ht="32.25" customHeight="1">
      <c r="A552" s="572"/>
      <c r="B552" s="572"/>
      <c r="C552" s="572"/>
      <c r="D552" s="609"/>
      <c r="E552" s="611"/>
      <c r="F552" s="178" t="s">
        <v>78</v>
      </c>
      <c r="G552" s="177">
        <f t="shared" si="175"/>
        <v>0</v>
      </c>
      <c r="H552" s="189">
        <v>0</v>
      </c>
      <c r="I552" s="175">
        <v>0</v>
      </c>
      <c r="J552" s="307">
        <v>0</v>
      </c>
      <c r="K552" s="189">
        <v>0</v>
      </c>
      <c r="L552" s="179" t="s">
        <v>182</v>
      </c>
      <c r="M552" s="179" t="s">
        <v>182</v>
      </c>
      <c r="N552" s="179" t="s">
        <v>182</v>
      </c>
      <c r="O552" s="179" t="s">
        <v>182</v>
      </c>
      <c r="P552" s="179" t="s">
        <v>182</v>
      </c>
    </row>
    <row r="553" spans="1:16" ht="32.25" customHeight="1">
      <c r="A553" s="572"/>
      <c r="B553" s="572"/>
      <c r="C553" s="572"/>
      <c r="D553" s="609"/>
      <c r="E553" s="611"/>
      <c r="F553" s="178" t="s">
        <v>260</v>
      </c>
      <c r="G553" s="177">
        <f>I553+J553+K553</f>
        <v>0</v>
      </c>
      <c r="H553" s="189" t="s">
        <v>182</v>
      </c>
      <c r="I553" s="175">
        <v>0</v>
      </c>
      <c r="J553" s="307">
        <v>0</v>
      </c>
      <c r="K553" s="189">
        <v>0</v>
      </c>
      <c r="L553" s="179" t="s">
        <v>182</v>
      </c>
      <c r="M553" s="179" t="s">
        <v>182</v>
      </c>
      <c r="N553" s="179" t="s">
        <v>182</v>
      </c>
      <c r="O553" s="179" t="s">
        <v>182</v>
      </c>
      <c r="P553" s="179" t="s">
        <v>182</v>
      </c>
    </row>
    <row r="554" spans="1:16" ht="29.25" customHeight="1">
      <c r="A554" s="580"/>
      <c r="B554" s="580"/>
      <c r="C554" s="580"/>
      <c r="D554" s="613"/>
      <c r="E554" s="612"/>
      <c r="F554" s="178" t="s">
        <v>110</v>
      </c>
      <c r="G554" s="177">
        <f>H554</f>
        <v>0</v>
      </c>
      <c r="H554" s="189">
        <v>0</v>
      </c>
      <c r="I554" s="334" t="s">
        <v>182</v>
      </c>
      <c r="J554" s="305" t="s">
        <v>182</v>
      </c>
      <c r="K554" s="179" t="s">
        <v>182</v>
      </c>
      <c r="L554" s="179" t="s">
        <v>182</v>
      </c>
      <c r="M554" s="179" t="s">
        <v>182</v>
      </c>
      <c r="N554" s="179" t="s">
        <v>182</v>
      </c>
      <c r="O554" s="179" t="s">
        <v>182</v>
      </c>
      <c r="P554" s="179" t="s">
        <v>182</v>
      </c>
    </row>
    <row r="555" spans="1:16" ht="18.75">
      <c r="C555" s="192"/>
      <c r="D555" s="193"/>
      <c r="E555" s="194"/>
      <c r="F555" s="163"/>
      <c r="G555" s="165"/>
      <c r="H555" s="165"/>
      <c r="I555" s="221"/>
      <c r="J555" s="308"/>
      <c r="K555" s="190"/>
      <c r="L555" s="44"/>
      <c r="M555" s="44"/>
      <c r="P555" s="274" t="s">
        <v>443</v>
      </c>
    </row>
    <row r="556" spans="1:16" ht="18.75">
      <c r="C556" s="192"/>
      <c r="D556" s="196"/>
      <c r="E556" s="195"/>
      <c r="F556" s="163"/>
      <c r="G556" s="165"/>
      <c r="H556" s="165" t="s">
        <v>458</v>
      </c>
      <c r="I556" s="221"/>
      <c r="J556" s="308"/>
      <c r="K556" s="190"/>
      <c r="L556" s="44"/>
      <c r="M556" s="44"/>
    </row>
    <row r="557" spans="1:16">
      <c r="A557" s="44"/>
      <c r="B557" s="44"/>
      <c r="C557" s="192"/>
      <c r="D557" s="193"/>
      <c r="E557" s="174"/>
      <c r="F557" s="163"/>
      <c r="G557" s="165"/>
      <c r="H557" s="165"/>
      <c r="I557" s="221"/>
      <c r="J557" s="308"/>
      <c r="K557" s="190"/>
      <c r="L557" s="44"/>
      <c r="M557" s="44"/>
    </row>
    <row r="558" spans="1:16">
      <c r="A558" s="44"/>
      <c r="B558" s="44"/>
      <c r="C558" s="192"/>
      <c r="D558" s="193"/>
      <c r="E558" s="174"/>
      <c r="F558" s="163"/>
      <c r="G558" s="165"/>
      <c r="H558" s="165"/>
      <c r="I558" s="221"/>
      <c r="J558" s="308"/>
      <c r="K558" s="190"/>
      <c r="L558" s="44"/>
      <c r="M558" s="44"/>
    </row>
    <row r="559" spans="1:16">
      <c r="A559" s="44"/>
      <c r="B559" s="44"/>
      <c r="C559" s="192"/>
      <c r="D559" s="193"/>
      <c r="E559" s="174"/>
      <c r="F559" s="163"/>
      <c r="G559" s="165"/>
      <c r="H559" s="165"/>
      <c r="I559" s="221"/>
      <c r="J559" s="308"/>
      <c r="K559" s="190"/>
      <c r="L559" s="44"/>
      <c r="M559" s="44"/>
    </row>
    <row r="560" spans="1:16">
      <c r="A560" s="44"/>
      <c r="B560" s="44"/>
      <c r="E560" s="165"/>
      <c r="G560" s="190"/>
      <c r="H560" s="190"/>
      <c r="I560" s="222"/>
      <c r="J560" s="308"/>
      <c r="K560" s="190"/>
      <c r="L560" s="44"/>
      <c r="M560" s="44"/>
    </row>
    <row r="561" spans="1:13">
      <c r="A561" s="44"/>
      <c r="B561" s="44"/>
      <c r="E561" s="165"/>
      <c r="G561" s="190"/>
      <c r="H561" s="190"/>
      <c r="I561" s="222"/>
      <c r="J561" s="308"/>
      <c r="K561" s="190"/>
      <c r="L561" s="44"/>
      <c r="M561" s="44"/>
    </row>
    <row r="562" spans="1:13">
      <c r="A562" s="44"/>
      <c r="B562" s="44"/>
      <c r="E562" s="165"/>
      <c r="G562" s="190"/>
      <c r="H562" s="190"/>
      <c r="I562" s="222"/>
      <c r="J562" s="308"/>
      <c r="K562" s="190"/>
      <c r="L562" s="44"/>
      <c r="M562" s="44"/>
    </row>
    <row r="563" spans="1:13">
      <c r="A563" s="44"/>
      <c r="B563" s="44"/>
      <c r="E563" s="165"/>
      <c r="G563" s="190"/>
      <c r="H563" s="190"/>
      <c r="I563" s="222"/>
      <c r="J563" s="308"/>
      <c r="K563" s="190"/>
      <c r="L563" s="44"/>
      <c r="M563" s="44"/>
    </row>
    <row r="564" spans="1:13">
      <c r="A564" s="44"/>
      <c r="B564" s="44"/>
      <c r="E564" s="165"/>
      <c r="G564" s="190"/>
      <c r="H564" s="190"/>
      <c r="I564" s="222"/>
      <c r="J564" s="308"/>
      <c r="K564" s="190"/>
      <c r="L564" s="44"/>
      <c r="M564" s="44"/>
    </row>
    <row r="565" spans="1:13">
      <c r="A565" s="44"/>
      <c r="B565" s="44"/>
      <c r="E565" s="165"/>
      <c r="G565" s="190"/>
      <c r="H565" s="190"/>
      <c r="I565" s="222"/>
      <c r="J565" s="308"/>
      <c r="K565" s="190"/>
      <c r="L565" s="44"/>
      <c r="M565" s="44"/>
    </row>
    <row r="566" spans="1:13">
      <c r="A566" s="44"/>
      <c r="B566" s="44"/>
      <c r="E566" s="165"/>
      <c r="G566" s="190"/>
      <c r="H566" s="190"/>
      <c r="I566" s="222"/>
      <c r="J566" s="308"/>
      <c r="K566" s="190"/>
      <c r="L566" s="44"/>
      <c r="M566" s="44"/>
    </row>
    <row r="567" spans="1:13">
      <c r="A567" s="44"/>
      <c r="B567" s="44"/>
      <c r="E567" s="165"/>
      <c r="G567" s="190"/>
      <c r="H567" s="190"/>
      <c r="I567" s="222"/>
      <c r="J567" s="308"/>
      <c r="K567" s="190"/>
      <c r="L567" s="44"/>
      <c r="M567" s="44"/>
    </row>
    <row r="568" spans="1:13">
      <c r="A568" s="44"/>
      <c r="B568" s="44"/>
      <c r="E568" s="165"/>
      <c r="G568" s="190"/>
      <c r="H568" s="190"/>
      <c r="I568" s="222"/>
      <c r="J568" s="308"/>
      <c r="K568" s="190"/>
      <c r="L568" s="44"/>
      <c r="M568" s="44"/>
    </row>
    <row r="569" spans="1:13">
      <c r="A569" s="44"/>
      <c r="B569" s="44"/>
      <c r="E569" s="165"/>
      <c r="G569" s="190"/>
      <c r="H569" s="190"/>
      <c r="I569" s="222"/>
      <c r="J569" s="308"/>
      <c r="K569" s="190"/>
      <c r="L569" s="44"/>
      <c r="M569" s="44"/>
    </row>
    <row r="570" spans="1:13">
      <c r="A570" s="44"/>
      <c r="B570" s="44"/>
      <c r="E570" s="165"/>
      <c r="G570" s="190"/>
      <c r="H570" s="190"/>
      <c r="I570" s="222"/>
      <c r="J570" s="308"/>
      <c r="K570" s="190"/>
      <c r="L570" s="44"/>
      <c r="M570" s="44"/>
    </row>
    <row r="571" spans="1:13">
      <c r="A571" s="44"/>
      <c r="B571" s="44"/>
      <c r="E571" s="165"/>
      <c r="G571" s="190"/>
      <c r="H571" s="190"/>
      <c r="I571" s="222"/>
      <c r="J571" s="308"/>
      <c r="K571" s="190"/>
      <c r="L571" s="44"/>
      <c r="M571" s="44"/>
    </row>
    <row r="572" spans="1:13">
      <c r="A572" s="44"/>
      <c r="B572" s="44"/>
      <c r="E572" s="165"/>
      <c r="G572" s="190"/>
      <c r="H572" s="190"/>
      <c r="I572" s="222"/>
      <c r="J572" s="308"/>
      <c r="K572" s="190"/>
      <c r="L572" s="44"/>
      <c r="M572" s="44"/>
    </row>
    <row r="573" spans="1:13">
      <c r="A573" s="44"/>
      <c r="B573" s="44"/>
      <c r="C573" s="44"/>
      <c r="D573" s="44"/>
      <c r="E573" s="165"/>
      <c r="G573" s="190"/>
      <c r="H573" s="190"/>
      <c r="I573" s="222"/>
      <c r="J573" s="308"/>
      <c r="K573" s="190"/>
      <c r="L573" s="44"/>
      <c r="M573" s="44"/>
    </row>
    <row r="574" spans="1:13">
      <c r="A574" s="44"/>
      <c r="B574" s="44"/>
      <c r="C574" s="44"/>
      <c r="D574" s="44"/>
      <c r="E574" s="165"/>
      <c r="G574" s="190"/>
      <c r="H574" s="190"/>
      <c r="I574" s="222"/>
      <c r="J574" s="308"/>
      <c r="K574" s="190"/>
      <c r="L574" s="44"/>
      <c r="M574" s="44"/>
    </row>
    <row r="575" spans="1:13">
      <c r="A575" s="44"/>
      <c r="B575" s="44"/>
      <c r="C575" s="44"/>
      <c r="D575" s="44"/>
      <c r="E575" s="165"/>
      <c r="G575" s="190"/>
      <c r="H575" s="190"/>
      <c r="I575" s="222"/>
      <c r="J575" s="308"/>
      <c r="K575" s="190"/>
      <c r="L575" s="44"/>
      <c r="M575" s="44"/>
    </row>
    <row r="576" spans="1:13">
      <c r="A576" s="44"/>
      <c r="B576" s="44"/>
      <c r="C576" s="44"/>
      <c r="D576" s="44"/>
      <c r="E576" s="165"/>
      <c r="G576" s="190"/>
      <c r="H576" s="190"/>
      <c r="I576" s="222"/>
      <c r="J576" s="308"/>
      <c r="K576" s="190"/>
      <c r="L576" s="44"/>
      <c r="M576" s="44"/>
    </row>
    <row r="577" spans="1:13">
      <c r="A577" s="44"/>
      <c r="B577" s="44"/>
      <c r="C577" s="44"/>
      <c r="D577" s="44"/>
      <c r="E577" s="165"/>
      <c r="G577" s="190"/>
      <c r="H577" s="190"/>
      <c r="I577" s="222"/>
      <c r="J577" s="308"/>
      <c r="K577" s="190"/>
      <c r="L577" s="44"/>
      <c r="M577" s="44"/>
    </row>
    <row r="578" spans="1:13">
      <c r="A578" s="44"/>
      <c r="B578" s="44"/>
      <c r="C578" s="44"/>
      <c r="D578" s="44"/>
      <c r="E578" s="165"/>
      <c r="G578" s="190"/>
      <c r="H578" s="190"/>
      <c r="I578" s="222"/>
      <c r="J578" s="308"/>
      <c r="K578" s="190"/>
      <c r="L578" s="44"/>
      <c r="M578" s="44"/>
    </row>
    <row r="579" spans="1:13">
      <c r="A579" s="44"/>
      <c r="B579" s="44"/>
      <c r="C579" s="44"/>
      <c r="D579" s="44"/>
      <c r="E579" s="165"/>
      <c r="G579" s="190"/>
      <c r="H579" s="190"/>
      <c r="I579" s="222"/>
      <c r="J579" s="308"/>
      <c r="K579" s="190"/>
      <c r="L579" s="44"/>
      <c r="M579" s="44"/>
    </row>
    <row r="580" spans="1:13">
      <c r="A580" s="44"/>
      <c r="B580" s="44"/>
      <c r="C580" s="44"/>
      <c r="D580" s="44"/>
      <c r="E580" s="165"/>
      <c r="G580" s="190"/>
      <c r="H580" s="190"/>
      <c r="I580" s="222"/>
      <c r="J580" s="308"/>
      <c r="K580" s="190"/>
      <c r="L580" s="44"/>
      <c r="M580" s="44"/>
    </row>
    <row r="581" spans="1:13">
      <c r="A581" s="44"/>
      <c r="B581" s="44"/>
      <c r="C581" s="44"/>
      <c r="D581" s="44"/>
      <c r="E581" s="165"/>
      <c r="G581" s="190"/>
      <c r="H581" s="190"/>
      <c r="I581" s="222"/>
      <c r="J581" s="308"/>
      <c r="K581" s="190"/>
      <c r="L581" s="44"/>
      <c r="M581" s="44"/>
    </row>
    <row r="582" spans="1:13">
      <c r="A582" s="44"/>
      <c r="B582" s="44"/>
      <c r="C582" s="44"/>
      <c r="D582" s="44"/>
      <c r="E582" s="165"/>
      <c r="G582" s="190"/>
      <c r="H582" s="190"/>
      <c r="I582" s="222"/>
      <c r="J582" s="308"/>
      <c r="K582" s="190"/>
      <c r="L582" s="44"/>
      <c r="M582" s="44"/>
    </row>
    <row r="583" spans="1:13">
      <c r="A583" s="44"/>
      <c r="B583" s="44"/>
      <c r="C583" s="44"/>
      <c r="D583" s="44"/>
      <c r="E583" s="165"/>
      <c r="G583" s="190"/>
      <c r="H583" s="190"/>
      <c r="I583" s="222"/>
      <c r="J583" s="308"/>
      <c r="K583" s="190"/>
      <c r="L583" s="44"/>
      <c r="M583" s="44"/>
    </row>
    <row r="584" spans="1:13">
      <c r="A584" s="44"/>
      <c r="B584" s="44"/>
      <c r="C584" s="44"/>
      <c r="D584" s="44"/>
      <c r="E584" s="165"/>
      <c r="G584" s="190"/>
      <c r="H584" s="190"/>
      <c r="I584" s="222"/>
      <c r="J584" s="308"/>
      <c r="K584" s="190"/>
      <c r="L584" s="44"/>
      <c r="M584" s="44"/>
    </row>
    <row r="585" spans="1:13">
      <c r="A585" s="44"/>
      <c r="B585" s="44"/>
      <c r="C585" s="44"/>
      <c r="D585" s="44"/>
      <c r="E585" s="165"/>
      <c r="G585" s="190"/>
      <c r="H585" s="190"/>
      <c r="I585" s="222"/>
      <c r="J585" s="308"/>
      <c r="K585" s="190"/>
      <c r="L585" s="44"/>
      <c r="M585" s="44"/>
    </row>
    <row r="586" spans="1:13">
      <c r="A586" s="44"/>
      <c r="B586" s="44"/>
      <c r="C586" s="44"/>
      <c r="D586" s="44"/>
      <c r="E586" s="165"/>
      <c r="G586" s="190"/>
      <c r="H586" s="190"/>
      <c r="I586" s="222"/>
      <c r="J586" s="308"/>
      <c r="K586" s="190"/>
      <c r="L586" s="44"/>
      <c r="M586" s="44"/>
    </row>
    <row r="587" spans="1:13">
      <c r="A587" s="44"/>
      <c r="B587" s="44"/>
      <c r="C587" s="44"/>
      <c r="D587" s="44"/>
      <c r="E587" s="165"/>
      <c r="G587" s="190"/>
      <c r="H587" s="190"/>
      <c r="I587" s="222"/>
      <c r="J587" s="308"/>
      <c r="K587" s="190"/>
      <c r="L587" s="44"/>
      <c r="M587" s="44"/>
    </row>
    <row r="588" spans="1:13">
      <c r="A588" s="44"/>
      <c r="B588" s="44"/>
      <c r="C588" s="44"/>
      <c r="D588" s="44"/>
      <c r="E588" s="165"/>
      <c r="G588" s="190"/>
      <c r="H588" s="190"/>
      <c r="I588" s="222"/>
      <c r="J588" s="308"/>
      <c r="K588" s="190"/>
      <c r="L588" s="44"/>
      <c r="M588" s="44"/>
    </row>
    <row r="589" spans="1:13">
      <c r="A589" s="44"/>
      <c r="B589" s="44"/>
      <c r="C589" s="44"/>
      <c r="D589" s="44"/>
      <c r="E589" s="165"/>
      <c r="G589" s="190"/>
      <c r="H589" s="190"/>
      <c r="I589" s="222"/>
      <c r="J589" s="308"/>
      <c r="K589" s="190"/>
      <c r="L589" s="44"/>
      <c r="M589" s="44"/>
    </row>
    <row r="590" spans="1:13">
      <c r="A590" s="44"/>
      <c r="B590" s="44"/>
      <c r="C590" s="44"/>
      <c r="D590" s="44"/>
      <c r="E590" s="165"/>
      <c r="G590" s="190"/>
      <c r="H590" s="190"/>
      <c r="I590" s="222"/>
      <c r="J590" s="308"/>
      <c r="K590" s="190"/>
      <c r="L590" s="44"/>
      <c r="M590" s="44"/>
    </row>
    <row r="591" spans="1:13">
      <c r="A591" s="44"/>
      <c r="B591" s="44"/>
      <c r="C591" s="44"/>
      <c r="D591" s="44"/>
      <c r="E591" s="165"/>
      <c r="G591" s="190"/>
      <c r="H591" s="190"/>
      <c r="I591" s="222"/>
      <c r="J591" s="308"/>
      <c r="K591" s="190"/>
      <c r="L591" s="44"/>
      <c r="M591" s="44"/>
    </row>
    <row r="592" spans="1:13">
      <c r="A592" s="44"/>
      <c r="B592" s="44"/>
      <c r="C592" s="44"/>
      <c r="D592" s="44"/>
      <c r="E592" s="165"/>
      <c r="G592" s="190"/>
      <c r="H592" s="190"/>
      <c r="I592" s="222"/>
      <c r="J592" s="308"/>
      <c r="K592" s="190"/>
      <c r="L592" s="44"/>
      <c r="M592" s="44"/>
    </row>
    <row r="593" spans="1:13">
      <c r="A593" s="44"/>
      <c r="B593" s="44"/>
      <c r="C593" s="44"/>
      <c r="D593" s="44"/>
      <c r="E593" s="165"/>
      <c r="G593" s="190"/>
      <c r="H593" s="190"/>
      <c r="I593" s="222"/>
      <c r="J593" s="308"/>
      <c r="K593" s="190"/>
      <c r="L593" s="44"/>
      <c r="M593" s="44"/>
    </row>
    <row r="594" spans="1:13">
      <c r="A594" s="44"/>
      <c r="B594" s="44"/>
      <c r="C594" s="44"/>
      <c r="D594" s="44"/>
      <c r="E594" s="165"/>
      <c r="G594" s="190"/>
      <c r="H594" s="190"/>
      <c r="I594" s="222"/>
      <c r="J594" s="308"/>
      <c r="K594" s="190"/>
      <c r="L594" s="44"/>
      <c r="M594" s="44"/>
    </row>
    <row r="595" spans="1:13">
      <c r="A595" s="44"/>
      <c r="B595" s="44"/>
      <c r="C595" s="44"/>
      <c r="D595" s="44"/>
      <c r="E595" s="165"/>
      <c r="G595" s="190"/>
      <c r="H595" s="190"/>
      <c r="I595" s="222"/>
      <c r="J595" s="308"/>
      <c r="K595" s="190"/>
      <c r="L595" s="44"/>
      <c r="M595" s="44"/>
    </row>
    <row r="596" spans="1:13">
      <c r="A596" s="44"/>
      <c r="B596" s="44"/>
      <c r="C596" s="44"/>
      <c r="D596" s="44"/>
      <c r="E596" s="165"/>
      <c r="G596" s="190"/>
      <c r="H596" s="190"/>
      <c r="I596" s="222"/>
      <c r="J596" s="308"/>
      <c r="K596" s="190"/>
      <c r="L596" s="44"/>
      <c r="M596" s="44"/>
    </row>
    <row r="597" spans="1:13">
      <c r="A597" s="44"/>
      <c r="B597" s="44"/>
      <c r="C597" s="44"/>
      <c r="D597" s="44"/>
      <c r="E597" s="165"/>
      <c r="G597" s="190"/>
      <c r="H597" s="190"/>
      <c r="I597" s="222"/>
      <c r="J597" s="308"/>
      <c r="K597" s="190"/>
      <c r="L597" s="44"/>
      <c r="M597" s="44"/>
    </row>
    <row r="598" spans="1:13">
      <c r="A598" s="44"/>
      <c r="B598" s="44"/>
      <c r="C598" s="44"/>
      <c r="D598" s="44"/>
      <c r="E598" s="165"/>
      <c r="G598" s="190"/>
      <c r="H598" s="190"/>
      <c r="I598" s="222"/>
      <c r="J598" s="308"/>
      <c r="K598" s="190"/>
      <c r="L598" s="44"/>
      <c r="M598" s="44"/>
    </row>
    <row r="599" spans="1:13">
      <c r="A599" s="44"/>
      <c r="B599" s="44"/>
      <c r="C599" s="44"/>
      <c r="D599" s="44"/>
      <c r="E599" s="165"/>
      <c r="G599" s="190"/>
      <c r="H599" s="190"/>
      <c r="I599" s="222"/>
      <c r="J599" s="308"/>
      <c r="K599" s="190"/>
      <c r="L599" s="44"/>
      <c r="M599" s="44"/>
    </row>
    <row r="600" spans="1:13">
      <c r="A600" s="44"/>
      <c r="B600" s="44"/>
      <c r="C600" s="44"/>
      <c r="D600" s="44"/>
      <c r="E600" s="165"/>
      <c r="G600" s="190"/>
      <c r="H600" s="190"/>
      <c r="I600" s="222"/>
      <c r="J600" s="308"/>
      <c r="K600" s="190"/>
      <c r="L600" s="44"/>
      <c r="M600" s="44"/>
    </row>
    <row r="601" spans="1:13">
      <c r="A601" s="44"/>
      <c r="B601" s="44"/>
      <c r="C601" s="44"/>
      <c r="D601" s="44"/>
      <c r="E601" s="165"/>
      <c r="G601" s="190"/>
      <c r="H601" s="190"/>
      <c r="I601" s="222"/>
      <c r="J601" s="308"/>
      <c r="K601" s="190"/>
      <c r="L601" s="44"/>
      <c r="M601" s="44"/>
    </row>
    <row r="602" spans="1:13">
      <c r="A602" s="44"/>
      <c r="B602" s="44"/>
      <c r="C602" s="44"/>
      <c r="D602" s="44"/>
      <c r="E602" s="165"/>
      <c r="G602" s="190"/>
      <c r="H602" s="190"/>
      <c r="I602" s="222"/>
      <c r="J602" s="308"/>
      <c r="K602" s="190"/>
      <c r="L602" s="44"/>
      <c r="M602" s="44"/>
    </row>
    <row r="603" spans="1:13">
      <c r="A603" s="44"/>
      <c r="B603" s="44"/>
      <c r="C603" s="44"/>
      <c r="D603" s="44"/>
      <c r="E603" s="165"/>
      <c r="G603" s="190"/>
      <c r="H603" s="190"/>
      <c r="I603" s="222"/>
      <c r="J603" s="308"/>
      <c r="K603" s="190"/>
      <c r="L603" s="44"/>
      <c r="M603" s="44"/>
    </row>
    <row r="604" spans="1:13">
      <c r="A604" s="44"/>
      <c r="B604" s="44"/>
      <c r="C604" s="44"/>
      <c r="D604" s="44"/>
      <c r="E604" s="165"/>
      <c r="G604" s="190"/>
      <c r="H604" s="190"/>
      <c r="I604" s="222"/>
      <c r="J604" s="308"/>
      <c r="K604" s="190"/>
      <c r="L604" s="44"/>
      <c r="M604" s="44"/>
    </row>
    <row r="605" spans="1:13">
      <c r="A605" s="44"/>
      <c r="B605" s="44"/>
      <c r="C605" s="44"/>
      <c r="D605" s="44"/>
      <c r="E605" s="165"/>
      <c r="G605" s="190"/>
      <c r="H605" s="190"/>
      <c r="I605" s="222"/>
      <c r="J605" s="308"/>
      <c r="K605" s="190"/>
      <c r="L605" s="44"/>
      <c r="M605" s="44"/>
    </row>
    <row r="606" spans="1:13">
      <c r="A606" s="44"/>
      <c r="B606" s="44"/>
      <c r="C606" s="44"/>
      <c r="D606" s="44"/>
      <c r="E606" s="165"/>
      <c r="G606" s="190"/>
      <c r="H606" s="190"/>
      <c r="I606" s="222"/>
      <c r="J606" s="308"/>
      <c r="K606" s="190"/>
      <c r="L606" s="44"/>
      <c r="M606" s="44"/>
    </row>
    <row r="607" spans="1:13">
      <c r="A607" s="44"/>
      <c r="B607" s="44"/>
      <c r="C607" s="44"/>
      <c r="D607" s="44"/>
      <c r="E607" s="165"/>
      <c r="G607" s="190"/>
      <c r="H607" s="190"/>
      <c r="I607" s="222"/>
      <c r="J607" s="308"/>
      <c r="K607" s="190"/>
      <c r="L607" s="44"/>
      <c r="M607" s="44"/>
    </row>
    <row r="608" spans="1:13">
      <c r="A608" s="44"/>
      <c r="B608" s="44"/>
      <c r="C608" s="44"/>
      <c r="D608" s="44"/>
      <c r="E608" s="165"/>
      <c r="G608" s="190"/>
      <c r="H608" s="190"/>
      <c r="I608" s="222"/>
      <c r="J608" s="308"/>
      <c r="K608" s="190"/>
      <c r="L608" s="44"/>
      <c r="M608" s="44"/>
    </row>
    <row r="609" spans="1:13">
      <c r="A609" s="44"/>
      <c r="B609" s="44"/>
      <c r="C609" s="44"/>
      <c r="D609" s="44"/>
      <c r="E609" s="165"/>
      <c r="G609" s="190"/>
      <c r="H609" s="190"/>
      <c r="I609" s="222"/>
      <c r="J609" s="308"/>
      <c r="K609" s="190"/>
      <c r="L609" s="44"/>
      <c r="M609" s="44"/>
    </row>
    <row r="610" spans="1:13">
      <c r="A610" s="44"/>
      <c r="B610" s="44"/>
      <c r="C610" s="44"/>
      <c r="D610" s="44"/>
      <c r="E610" s="165"/>
      <c r="G610" s="190"/>
      <c r="H610" s="190"/>
      <c r="I610" s="222"/>
      <c r="J610" s="308"/>
      <c r="K610" s="190"/>
      <c r="L610" s="44"/>
      <c r="M610" s="44"/>
    </row>
    <row r="611" spans="1:13">
      <c r="A611" s="44"/>
      <c r="B611" s="44"/>
      <c r="C611" s="44"/>
      <c r="D611" s="44"/>
      <c r="E611" s="165"/>
      <c r="G611" s="190"/>
      <c r="H611" s="190"/>
      <c r="I611" s="222"/>
      <c r="J611" s="308"/>
      <c r="K611" s="190"/>
      <c r="L611" s="44"/>
      <c r="M611" s="44"/>
    </row>
    <row r="612" spans="1:13">
      <c r="A612" s="44"/>
      <c r="B612" s="44"/>
      <c r="C612" s="44"/>
      <c r="D612" s="44"/>
      <c r="E612" s="165"/>
      <c r="G612" s="190"/>
      <c r="H612" s="190"/>
      <c r="I612" s="222"/>
      <c r="J612" s="308"/>
      <c r="K612" s="190"/>
      <c r="L612" s="44"/>
      <c r="M612" s="44"/>
    </row>
    <row r="613" spans="1:13">
      <c r="A613" s="44"/>
      <c r="B613" s="44"/>
      <c r="C613" s="44"/>
      <c r="D613" s="44"/>
      <c r="E613" s="165"/>
      <c r="G613" s="190"/>
      <c r="H613" s="190"/>
      <c r="I613" s="222"/>
      <c r="J613" s="308"/>
      <c r="K613" s="190"/>
      <c r="L613" s="44"/>
      <c r="M613" s="44"/>
    </row>
    <row r="614" spans="1:13">
      <c r="A614" s="44"/>
      <c r="B614" s="44"/>
      <c r="C614" s="44"/>
      <c r="D614" s="44"/>
      <c r="E614" s="165"/>
      <c r="G614" s="190"/>
      <c r="H614" s="190"/>
      <c r="I614" s="222"/>
      <c r="J614" s="308"/>
      <c r="K614" s="190"/>
      <c r="L614" s="44"/>
      <c r="M614" s="44"/>
    </row>
    <row r="615" spans="1:13">
      <c r="A615" s="44"/>
      <c r="B615" s="44"/>
      <c r="C615" s="44"/>
      <c r="D615" s="44"/>
      <c r="E615" s="165"/>
      <c r="G615" s="190"/>
      <c r="H615" s="190"/>
      <c r="I615" s="222"/>
      <c r="J615" s="308"/>
      <c r="K615" s="190"/>
      <c r="L615" s="44"/>
      <c r="M615" s="44"/>
    </row>
    <row r="616" spans="1:13">
      <c r="A616" s="44"/>
      <c r="B616" s="44"/>
      <c r="C616" s="44"/>
      <c r="D616" s="44"/>
      <c r="E616" s="165"/>
      <c r="G616" s="190"/>
      <c r="H616" s="190"/>
      <c r="I616" s="222"/>
      <c r="J616" s="308"/>
      <c r="K616" s="190"/>
      <c r="L616" s="44"/>
      <c r="M616" s="44"/>
    </row>
    <row r="617" spans="1:13">
      <c r="A617" s="44"/>
      <c r="B617" s="44"/>
      <c r="C617" s="44"/>
      <c r="D617" s="44"/>
      <c r="E617" s="165"/>
      <c r="G617" s="190"/>
      <c r="H617" s="190"/>
      <c r="I617" s="222"/>
      <c r="J617" s="308"/>
      <c r="K617" s="190"/>
      <c r="L617" s="44"/>
      <c r="M617" s="44"/>
    </row>
    <row r="618" spans="1:13">
      <c r="A618" s="44"/>
      <c r="B618" s="44"/>
      <c r="C618" s="44"/>
      <c r="D618" s="44"/>
      <c r="E618" s="165"/>
      <c r="G618" s="190"/>
      <c r="H618" s="190"/>
      <c r="I618" s="222"/>
      <c r="J618" s="308"/>
      <c r="K618" s="190"/>
      <c r="L618" s="44"/>
      <c r="M618" s="44"/>
    </row>
    <row r="619" spans="1:13">
      <c r="A619" s="44"/>
      <c r="B619" s="44"/>
      <c r="C619" s="44"/>
      <c r="D619" s="44"/>
      <c r="E619" s="165"/>
      <c r="G619" s="190"/>
      <c r="H619" s="190"/>
      <c r="I619" s="222"/>
      <c r="J619" s="308"/>
      <c r="K619" s="190"/>
      <c r="L619" s="44"/>
      <c r="M619" s="44"/>
    </row>
    <row r="620" spans="1:13">
      <c r="A620" s="44"/>
      <c r="B620" s="44"/>
      <c r="C620" s="44"/>
      <c r="D620" s="44"/>
      <c r="E620" s="165"/>
      <c r="G620" s="190"/>
      <c r="H620" s="190"/>
      <c r="I620" s="222"/>
      <c r="J620" s="308"/>
      <c r="K620" s="190"/>
      <c r="L620" s="44"/>
      <c r="M620" s="44"/>
    </row>
    <row r="621" spans="1:13">
      <c r="A621" s="44"/>
      <c r="B621" s="44"/>
      <c r="C621" s="44"/>
      <c r="D621" s="44"/>
      <c r="E621" s="165"/>
      <c r="G621" s="190"/>
      <c r="H621" s="190"/>
      <c r="I621" s="222"/>
      <c r="J621" s="308"/>
      <c r="K621" s="190"/>
      <c r="L621" s="44"/>
      <c r="M621" s="44"/>
    </row>
    <row r="622" spans="1:13">
      <c r="A622" s="44"/>
      <c r="B622" s="44"/>
      <c r="C622" s="44"/>
      <c r="D622" s="44"/>
      <c r="E622" s="165"/>
      <c r="G622" s="190"/>
      <c r="H622" s="190"/>
      <c r="I622" s="222"/>
      <c r="J622" s="308"/>
      <c r="K622" s="190"/>
      <c r="L622" s="44"/>
      <c r="M622" s="44"/>
    </row>
    <row r="623" spans="1:13">
      <c r="A623" s="44"/>
      <c r="B623" s="44"/>
      <c r="C623" s="44"/>
      <c r="D623" s="44"/>
      <c r="E623" s="165"/>
      <c r="G623" s="190"/>
      <c r="H623" s="190"/>
      <c r="I623" s="222"/>
      <c r="J623" s="308"/>
      <c r="K623" s="190"/>
      <c r="L623" s="44"/>
      <c r="M623" s="44"/>
    </row>
    <row r="624" spans="1:13">
      <c r="A624" s="44"/>
      <c r="B624" s="44"/>
      <c r="C624" s="44"/>
      <c r="D624" s="44"/>
      <c r="E624" s="165"/>
      <c r="G624" s="190"/>
      <c r="H624" s="190"/>
      <c r="I624" s="222"/>
      <c r="J624" s="308"/>
      <c r="K624" s="190"/>
      <c r="L624" s="44"/>
      <c r="M624" s="44"/>
    </row>
    <row r="625" spans="1:13">
      <c r="A625" s="44"/>
      <c r="B625" s="44"/>
      <c r="C625" s="44"/>
      <c r="D625" s="44"/>
      <c r="E625" s="165"/>
      <c r="G625" s="190"/>
      <c r="H625" s="190"/>
      <c r="I625" s="222"/>
      <c r="J625" s="308"/>
      <c r="K625" s="190"/>
      <c r="L625" s="44"/>
      <c r="M625" s="44"/>
    </row>
    <row r="626" spans="1:13">
      <c r="A626" s="44"/>
      <c r="B626" s="44"/>
      <c r="C626" s="44"/>
      <c r="D626" s="44"/>
      <c r="E626" s="165"/>
      <c r="G626" s="190"/>
      <c r="H626" s="190"/>
      <c r="I626" s="222"/>
      <c r="J626" s="308"/>
      <c r="K626" s="190"/>
      <c r="L626" s="44"/>
      <c r="M626" s="44"/>
    </row>
    <row r="627" spans="1:13">
      <c r="A627" s="44"/>
      <c r="B627" s="44"/>
      <c r="C627" s="44"/>
      <c r="D627" s="44"/>
      <c r="E627" s="165"/>
      <c r="G627" s="190"/>
      <c r="H627" s="190"/>
      <c r="I627" s="222"/>
      <c r="J627" s="308"/>
      <c r="K627" s="190"/>
      <c r="L627" s="44"/>
      <c r="M627" s="44"/>
    </row>
    <row r="628" spans="1:13">
      <c r="A628" s="44"/>
      <c r="B628" s="44"/>
      <c r="C628" s="44"/>
      <c r="D628" s="44"/>
      <c r="E628" s="165"/>
      <c r="G628" s="190"/>
      <c r="H628" s="190"/>
      <c r="I628" s="222"/>
      <c r="J628" s="308"/>
      <c r="K628" s="190"/>
      <c r="L628" s="44"/>
      <c r="M628" s="44"/>
    </row>
    <row r="629" spans="1:13">
      <c r="A629" s="44"/>
      <c r="B629" s="44"/>
      <c r="C629" s="44"/>
      <c r="D629" s="44"/>
      <c r="E629" s="165"/>
      <c r="G629" s="190"/>
      <c r="H629" s="190"/>
      <c r="I629" s="222"/>
      <c r="J629" s="308"/>
      <c r="K629" s="190"/>
      <c r="L629" s="44"/>
      <c r="M629" s="44"/>
    </row>
    <row r="630" spans="1:13">
      <c r="A630" s="44"/>
      <c r="B630" s="44"/>
      <c r="C630" s="44"/>
      <c r="D630" s="44"/>
      <c r="E630" s="165"/>
      <c r="G630" s="190"/>
      <c r="H630" s="190"/>
      <c r="I630" s="222"/>
      <c r="J630" s="308"/>
      <c r="K630" s="190"/>
      <c r="L630" s="44"/>
      <c r="M630" s="44"/>
    </row>
    <row r="631" spans="1:13">
      <c r="A631" s="44"/>
      <c r="B631" s="44"/>
      <c r="C631" s="44"/>
      <c r="D631" s="44"/>
      <c r="E631" s="165"/>
      <c r="G631" s="190"/>
      <c r="H631" s="190"/>
      <c r="I631" s="222"/>
      <c r="J631" s="308"/>
      <c r="K631" s="190"/>
      <c r="L631" s="44"/>
      <c r="M631" s="44"/>
    </row>
    <row r="632" spans="1:13">
      <c r="A632" s="44"/>
      <c r="B632" s="44"/>
      <c r="C632" s="44"/>
      <c r="D632" s="44"/>
      <c r="E632" s="165"/>
      <c r="G632" s="190"/>
      <c r="H632" s="190"/>
      <c r="I632" s="222"/>
      <c r="J632" s="308"/>
      <c r="K632" s="190"/>
      <c r="L632" s="44"/>
      <c r="M632" s="44"/>
    </row>
    <row r="633" spans="1:13">
      <c r="A633" s="44"/>
      <c r="B633" s="44"/>
      <c r="C633" s="44"/>
      <c r="D633" s="44"/>
      <c r="E633" s="165"/>
      <c r="G633" s="190"/>
      <c r="H633" s="190"/>
      <c r="I633" s="222"/>
      <c r="J633" s="308"/>
      <c r="K633" s="190"/>
      <c r="L633" s="44"/>
      <c r="M633" s="44"/>
    </row>
    <row r="634" spans="1:13">
      <c r="A634" s="44"/>
      <c r="B634" s="44"/>
      <c r="C634" s="44"/>
      <c r="D634" s="44"/>
      <c r="E634" s="165"/>
      <c r="G634" s="190"/>
      <c r="H634" s="190"/>
      <c r="I634" s="222"/>
      <c r="J634" s="308"/>
      <c r="K634" s="190"/>
      <c r="L634" s="44"/>
      <c r="M634" s="44"/>
    </row>
    <row r="635" spans="1:13">
      <c r="A635" s="44"/>
      <c r="B635" s="44"/>
      <c r="C635" s="44"/>
      <c r="D635" s="44"/>
      <c r="E635" s="165"/>
      <c r="G635" s="190"/>
      <c r="H635" s="190"/>
      <c r="I635" s="222"/>
      <c r="J635" s="308"/>
      <c r="K635" s="190"/>
      <c r="L635" s="44"/>
      <c r="M635" s="44"/>
    </row>
    <row r="636" spans="1:13">
      <c r="A636" s="44"/>
      <c r="B636" s="44"/>
      <c r="C636" s="44"/>
      <c r="D636" s="44"/>
      <c r="E636" s="165"/>
      <c r="G636" s="190"/>
      <c r="H636" s="190"/>
      <c r="I636" s="222"/>
      <c r="J636" s="308"/>
      <c r="K636" s="190"/>
      <c r="L636" s="44"/>
      <c r="M636" s="44"/>
    </row>
    <row r="637" spans="1:13">
      <c r="A637" s="44"/>
      <c r="B637" s="44"/>
      <c r="C637" s="44"/>
      <c r="D637" s="44"/>
      <c r="E637" s="165"/>
      <c r="G637" s="190"/>
      <c r="H637" s="190"/>
      <c r="I637" s="222"/>
      <c r="J637" s="308"/>
      <c r="K637" s="190"/>
      <c r="L637" s="44"/>
      <c r="M637" s="44"/>
    </row>
    <row r="638" spans="1:13">
      <c r="A638" s="44"/>
      <c r="B638" s="44"/>
      <c r="C638" s="44"/>
      <c r="D638" s="44"/>
      <c r="E638" s="165"/>
      <c r="G638" s="190"/>
      <c r="H638" s="190"/>
      <c r="I638" s="222"/>
      <c r="J638" s="308"/>
      <c r="K638" s="190"/>
      <c r="L638" s="44"/>
      <c r="M638" s="44"/>
    </row>
    <row r="639" spans="1:13">
      <c r="A639" s="44"/>
      <c r="B639" s="44"/>
      <c r="C639" s="44"/>
      <c r="D639" s="44"/>
      <c r="E639" s="165"/>
      <c r="G639" s="190"/>
      <c r="H639" s="190"/>
      <c r="I639" s="222"/>
      <c r="J639" s="308"/>
      <c r="K639" s="190"/>
      <c r="L639" s="44"/>
      <c r="M639" s="44"/>
    </row>
    <row r="640" spans="1:13">
      <c r="A640" s="44"/>
      <c r="B640" s="44"/>
      <c r="C640" s="44"/>
      <c r="D640" s="44"/>
      <c r="E640" s="165"/>
      <c r="G640" s="190"/>
      <c r="H640" s="190"/>
      <c r="I640" s="222"/>
      <c r="J640" s="308"/>
      <c r="K640" s="190"/>
      <c r="L640" s="44"/>
      <c r="M640" s="44"/>
    </row>
    <row r="641" spans="1:13">
      <c r="A641" s="44"/>
      <c r="B641" s="44"/>
      <c r="C641" s="44"/>
      <c r="D641" s="44"/>
      <c r="E641" s="165"/>
      <c r="G641" s="190"/>
      <c r="H641" s="190"/>
      <c r="I641" s="222"/>
      <c r="J641" s="308"/>
      <c r="K641" s="190"/>
      <c r="L641" s="44"/>
      <c r="M641" s="44"/>
    </row>
    <row r="642" spans="1:13">
      <c r="A642" s="44"/>
      <c r="B642" s="44"/>
      <c r="C642" s="44"/>
      <c r="D642" s="44"/>
      <c r="E642" s="165"/>
      <c r="G642" s="190"/>
      <c r="H642" s="190"/>
      <c r="I642" s="222"/>
      <c r="J642" s="308"/>
      <c r="K642" s="190"/>
      <c r="L642" s="44"/>
      <c r="M642" s="44"/>
    </row>
    <row r="643" spans="1:13">
      <c r="A643" s="44"/>
      <c r="B643" s="44"/>
      <c r="C643" s="44"/>
      <c r="D643" s="44"/>
      <c r="E643" s="165"/>
      <c r="G643" s="190"/>
      <c r="H643" s="190"/>
      <c r="I643" s="222"/>
      <c r="J643" s="308"/>
      <c r="K643" s="190"/>
      <c r="L643" s="44"/>
      <c r="M643" s="44"/>
    </row>
    <row r="644" spans="1:13">
      <c r="A644" s="44"/>
      <c r="B644" s="44"/>
      <c r="C644" s="44"/>
      <c r="D644" s="44"/>
      <c r="E644" s="165"/>
      <c r="G644" s="190"/>
      <c r="H644" s="190"/>
      <c r="I644" s="222"/>
      <c r="J644" s="308"/>
      <c r="K644" s="190"/>
      <c r="L644" s="44"/>
      <c r="M644" s="44"/>
    </row>
    <row r="645" spans="1:13">
      <c r="A645" s="44"/>
      <c r="B645" s="44"/>
      <c r="C645" s="44"/>
      <c r="D645" s="44"/>
      <c r="E645" s="165"/>
      <c r="G645" s="190"/>
      <c r="H645" s="190"/>
      <c r="I645" s="222"/>
      <c r="J645" s="308"/>
      <c r="K645" s="190"/>
      <c r="L645" s="44"/>
      <c r="M645" s="44"/>
    </row>
    <row r="646" spans="1:13">
      <c r="A646" s="44"/>
      <c r="B646" s="44"/>
      <c r="C646" s="44"/>
      <c r="D646" s="44"/>
      <c r="E646" s="165"/>
      <c r="G646" s="190"/>
      <c r="H646" s="190"/>
      <c r="I646" s="222"/>
      <c r="J646" s="308"/>
      <c r="K646" s="190"/>
      <c r="L646" s="44"/>
      <c r="M646" s="44"/>
    </row>
    <row r="647" spans="1:13">
      <c r="A647" s="44"/>
      <c r="B647" s="44"/>
      <c r="C647" s="44"/>
      <c r="D647" s="44"/>
      <c r="E647" s="165"/>
      <c r="G647" s="190"/>
      <c r="H647" s="190"/>
      <c r="I647" s="222"/>
      <c r="J647" s="308"/>
      <c r="K647" s="190"/>
      <c r="L647" s="44"/>
      <c r="M647" s="44"/>
    </row>
    <row r="648" spans="1:13">
      <c r="A648" s="44"/>
      <c r="B648" s="44"/>
      <c r="C648" s="44"/>
      <c r="D648" s="44"/>
      <c r="E648" s="165"/>
      <c r="G648" s="190"/>
      <c r="H648" s="190"/>
      <c r="I648" s="222"/>
      <c r="J648" s="308"/>
      <c r="K648" s="190"/>
      <c r="L648" s="44"/>
      <c r="M648" s="44"/>
    </row>
    <row r="649" spans="1:13">
      <c r="A649" s="44"/>
      <c r="B649" s="44"/>
      <c r="C649" s="44"/>
      <c r="D649" s="44"/>
      <c r="E649" s="165"/>
      <c r="G649" s="190"/>
      <c r="H649" s="190"/>
      <c r="I649" s="222"/>
      <c r="J649" s="308"/>
      <c r="K649" s="190"/>
      <c r="L649" s="44"/>
      <c r="M649" s="44"/>
    </row>
    <row r="650" spans="1:13">
      <c r="A650" s="44"/>
      <c r="B650" s="44"/>
      <c r="C650" s="44"/>
      <c r="D650" s="44"/>
      <c r="E650" s="165"/>
      <c r="G650" s="190"/>
      <c r="H650" s="190"/>
      <c r="I650" s="222"/>
      <c r="J650" s="308"/>
      <c r="K650" s="190"/>
      <c r="L650" s="44"/>
      <c r="M650" s="44"/>
    </row>
    <row r="651" spans="1:13">
      <c r="A651" s="44"/>
      <c r="B651" s="44"/>
      <c r="C651" s="44"/>
      <c r="D651" s="44"/>
      <c r="E651" s="165"/>
      <c r="G651" s="190"/>
      <c r="H651" s="190"/>
      <c r="I651" s="222"/>
      <c r="J651" s="308"/>
      <c r="K651" s="190"/>
      <c r="L651" s="44"/>
      <c r="M651" s="44"/>
    </row>
    <row r="652" spans="1:13">
      <c r="A652" s="44"/>
      <c r="B652" s="44"/>
      <c r="C652" s="44"/>
      <c r="D652" s="44"/>
      <c r="E652" s="165"/>
      <c r="G652" s="190"/>
      <c r="H652" s="190"/>
      <c r="I652" s="222"/>
      <c r="J652" s="308"/>
      <c r="K652" s="190"/>
      <c r="L652" s="44"/>
      <c r="M652" s="44"/>
    </row>
    <row r="653" spans="1:13">
      <c r="A653" s="44"/>
      <c r="B653" s="44"/>
      <c r="C653" s="44"/>
      <c r="E653" s="165"/>
      <c r="G653" s="190"/>
      <c r="H653" s="190"/>
      <c r="I653" s="222"/>
      <c r="J653" s="308"/>
      <c r="K653" s="190"/>
      <c r="L653" s="44"/>
      <c r="M653" s="44"/>
    </row>
    <row r="654" spans="1:13">
      <c r="A654" s="44"/>
      <c r="B654" s="44"/>
      <c r="C654" s="44"/>
      <c r="E654" s="165"/>
      <c r="G654" s="190"/>
      <c r="H654" s="190"/>
      <c r="I654" s="222"/>
      <c r="J654" s="308"/>
      <c r="K654" s="190"/>
      <c r="L654" s="44"/>
      <c r="M654" s="44"/>
    </row>
    <row r="655" spans="1:13">
      <c r="A655" s="44"/>
      <c r="B655" s="44"/>
      <c r="C655" s="44"/>
      <c r="E655" s="165"/>
      <c r="G655" s="190"/>
      <c r="H655" s="190"/>
      <c r="I655" s="222"/>
      <c r="J655" s="308"/>
      <c r="K655" s="190"/>
      <c r="L655" s="44"/>
      <c r="M655" s="44"/>
    </row>
    <row r="656" spans="1:13">
      <c r="A656" s="44"/>
      <c r="B656" s="44"/>
      <c r="C656" s="44"/>
      <c r="E656" s="165"/>
      <c r="G656" s="190"/>
      <c r="H656" s="190"/>
      <c r="I656" s="222"/>
      <c r="J656" s="308"/>
      <c r="K656" s="190"/>
      <c r="L656" s="44"/>
      <c r="M656" s="44"/>
    </row>
    <row r="657" spans="1:13">
      <c r="A657" s="44"/>
      <c r="B657" s="44"/>
      <c r="C657" s="44"/>
      <c r="E657" s="165"/>
      <c r="G657" s="190"/>
      <c r="H657" s="190"/>
      <c r="I657" s="222"/>
      <c r="J657" s="308"/>
      <c r="K657" s="190"/>
      <c r="L657" s="44"/>
      <c r="M657" s="44"/>
    </row>
    <row r="658" spans="1:13">
      <c r="A658" s="44"/>
      <c r="B658" s="44"/>
      <c r="C658" s="44"/>
      <c r="E658" s="165"/>
      <c r="G658" s="190"/>
      <c r="H658" s="190"/>
      <c r="I658" s="222"/>
      <c r="J658" s="308"/>
      <c r="K658" s="190"/>
      <c r="L658" s="44"/>
      <c r="M658" s="44"/>
    </row>
    <row r="659" spans="1:13">
      <c r="A659" s="44"/>
      <c r="B659" s="44"/>
      <c r="C659" s="44"/>
      <c r="E659" s="165"/>
      <c r="G659" s="190"/>
      <c r="H659" s="190"/>
      <c r="I659" s="222"/>
      <c r="J659" s="308"/>
      <c r="K659" s="190"/>
      <c r="L659" s="44"/>
      <c r="M659" s="44"/>
    </row>
    <row r="660" spans="1:13">
      <c r="A660" s="44"/>
      <c r="B660" s="44"/>
      <c r="C660" s="44"/>
      <c r="E660" s="165"/>
      <c r="G660" s="190"/>
      <c r="H660" s="190"/>
      <c r="I660" s="222"/>
      <c r="J660" s="308"/>
      <c r="K660" s="190"/>
      <c r="L660" s="44"/>
      <c r="M660" s="44"/>
    </row>
    <row r="661" spans="1:13">
      <c r="A661" s="44"/>
      <c r="B661" s="44"/>
      <c r="C661" s="44"/>
      <c r="E661" s="165"/>
      <c r="G661" s="190"/>
      <c r="H661" s="190"/>
      <c r="I661" s="222"/>
      <c r="J661" s="308"/>
      <c r="K661" s="190"/>
      <c r="L661" s="44"/>
      <c r="M661" s="44"/>
    </row>
    <row r="662" spans="1:13">
      <c r="A662" s="44"/>
      <c r="B662" s="44"/>
      <c r="C662" s="44"/>
      <c r="E662" s="165"/>
      <c r="G662" s="190"/>
      <c r="H662" s="190"/>
      <c r="I662" s="222"/>
      <c r="J662" s="308"/>
      <c r="K662" s="190"/>
      <c r="L662" s="44"/>
      <c r="M662" s="44"/>
    </row>
    <row r="663" spans="1:13">
      <c r="A663" s="44"/>
      <c r="B663" s="44"/>
      <c r="C663" s="44"/>
      <c r="E663" s="165"/>
      <c r="G663" s="190"/>
      <c r="H663" s="190"/>
      <c r="I663" s="222"/>
      <c r="J663" s="308"/>
      <c r="K663" s="190"/>
      <c r="L663" s="44"/>
      <c r="M663" s="44"/>
    </row>
    <row r="664" spans="1:13">
      <c r="A664" s="44"/>
      <c r="B664" s="44"/>
      <c r="C664" s="44"/>
      <c r="D664" s="193"/>
      <c r="E664" s="174"/>
      <c r="F664" s="163"/>
      <c r="G664" s="165"/>
      <c r="H664" s="165"/>
      <c r="I664" s="221"/>
      <c r="J664" s="308"/>
      <c r="K664" s="190"/>
      <c r="L664" s="44"/>
      <c r="M664" s="44"/>
    </row>
    <row r="665" spans="1:13">
      <c r="A665" s="44"/>
      <c r="B665" s="44"/>
      <c r="C665" s="44"/>
      <c r="D665" s="193"/>
      <c r="E665" s="174"/>
      <c r="F665" s="163"/>
      <c r="G665" s="165"/>
      <c r="H665" s="165"/>
      <c r="I665" s="221"/>
      <c r="J665" s="308"/>
      <c r="K665" s="190"/>
      <c r="L665" s="44"/>
      <c r="M665" s="44"/>
    </row>
    <row r="666" spans="1:13">
      <c r="A666" s="44"/>
      <c r="B666" s="44"/>
      <c r="C666" s="44"/>
      <c r="D666" s="193"/>
      <c r="E666" s="174"/>
      <c r="F666" s="163"/>
      <c r="G666" s="165"/>
      <c r="H666" s="165"/>
      <c r="I666" s="221"/>
      <c r="J666" s="308"/>
      <c r="K666" s="190"/>
      <c r="L666" s="44"/>
      <c r="M666" s="44"/>
    </row>
    <row r="667" spans="1:13">
      <c r="A667" s="44"/>
      <c r="B667" s="44"/>
      <c r="C667" s="44"/>
      <c r="D667" s="193"/>
      <c r="E667" s="174"/>
      <c r="F667" s="163"/>
      <c r="G667" s="165"/>
      <c r="H667" s="165"/>
      <c r="I667" s="221"/>
      <c r="J667" s="308"/>
      <c r="K667" s="190"/>
      <c r="L667" s="44"/>
      <c r="M667" s="44"/>
    </row>
    <row r="668" spans="1:13">
      <c r="A668" s="44"/>
      <c r="B668" s="44"/>
      <c r="C668" s="44"/>
      <c r="D668" s="193"/>
      <c r="E668" s="174"/>
      <c r="F668" s="163"/>
      <c r="G668" s="165"/>
      <c r="H668" s="165"/>
      <c r="I668" s="221"/>
      <c r="J668" s="308"/>
      <c r="K668" s="190"/>
      <c r="L668" s="44"/>
      <c r="M668" s="44"/>
    </row>
    <row r="669" spans="1:13">
      <c r="A669" s="44"/>
      <c r="B669" s="44"/>
      <c r="C669" s="44"/>
      <c r="D669" s="193"/>
      <c r="E669" s="174"/>
      <c r="F669" s="163"/>
      <c r="G669" s="165"/>
      <c r="H669" s="165"/>
      <c r="I669" s="221"/>
      <c r="J669" s="308"/>
      <c r="K669" s="190"/>
      <c r="L669" s="44"/>
      <c r="M669" s="44"/>
    </row>
    <row r="670" spans="1:13">
      <c r="A670" s="44"/>
      <c r="B670" s="44"/>
      <c r="C670" s="44"/>
      <c r="D670" s="193"/>
      <c r="E670" s="174"/>
      <c r="F670" s="163"/>
      <c r="G670" s="165"/>
      <c r="H670" s="165"/>
      <c r="I670" s="221"/>
      <c r="J670" s="308"/>
      <c r="K670" s="190"/>
      <c r="L670" s="44"/>
      <c r="M670" s="44"/>
    </row>
    <row r="671" spans="1:13">
      <c r="A671" s="44"/>
      <c r="B671" s="44"/>
      <c r="C671" s="44"/>
      <c r="D671" s="193"/>
      <c r="E671" s="174"/>
      <c r="F671" s="163"/>
      <c r="G671" s="165"/>
      <c r="H671" s="165"/>
      <c r="I671" s="221"/>
      <c r="J671" s="308"/>
      <c r="K671" s="190"/>
      <c r="L671" s="44"/>
      <c r="M671" s="44"/>
    </row>
    <row r="672" spans="1:13">
      <c r="A672" s="44"/>
      <c r="B672" s="44"/>
      <c r="C672" s="44"/>
      <c r="D672" s="193"/>
      <c r="E672" s="174"/>
      <c r="F672" s="163"/>
      <c r="G672" s="165"/>
      <c r="H672" s="165"/>
      <c r="I672" s="221"/>
      <c r="J672" s="308"/>
      <c r="K672" s="190"/>
      <c r="L672" s="44"/>
      <c r="M672" s="44"/>
    </row>
    <row r="673" spans="1:13">
      <c r="A673" s="44"/>
      <c r="B673" s="44"/>
      <c r="C673" s="44"/>
      <c r="D673" s="193"/>
      <c r="E673" s="174"/>
      <c r="F673" s="163"/>
      <c r="G673" s="165"/>
      <c r="H673" s="165"/>
      <c r="I673" s="221"/>
      <c r="J673" s="308"/>
      <c r="K673" s="190"/>
      <c r="L673" s="44"/>
      <c r="M673" s="44"/>
    </row>
    <row r="674" spans="1:13">
      <c r="A674" s="44"/>
      <c r="B674" s="44"/>
      <c r="C674" s="44"/>
      <c r="D674" s="193"/>
      <c r="E674" s="174"/>
      <c r="F674" s="163"/>
      <c r="G674" s="165"/>
      <c r="H674" s="165"/>
      <c r="I674" s="221"/>
      <c r="J674" s="308"/>
      <c r="K674" s="190"/>
      <c r="L674" s="44"/>
      <c r="M674" s="44"/>
    </row>
    <row r="675" spans="1:13">
      <c r="A675" s="44"/>
      <c r="B675" s="44"/>
      <c r="C675" s="44"/>
      <c r="D675" s="193"/>
      <c r="E675" s="174"/>
      <c r="F675" s="163"/>
      <c r="G675" s="165"/>
      <c r="H675" s="165"/>
      <c r="I675" s="221"/>
      <c r="J675" s="308"/>
      <c r="K675" s="190"/>
      <c r="L675" s="44"/>
      <c r="M675" s="44"/>
    </row>
    <row r="676" spans="1:13">
      <c r="A676" s="44"/>
      <c r="B676" s="44"/>
      <c r="C676" s="44"/>
      <c r="D676" s="193"/>
      <c r="E676" s="174"/>
      <c r="F676" s="163"/>
      <c r="G676" s="165"/>
      <c r="H676" s="165"/>
      <c r="I676" s="221"/>
      <c r="J676" s="308"/>
      <c r="K676" s="190"/>
      <c r="L676" s="44"/>
      <c r="M676" s="44"/>
    </row>
    <row r="677" spans="1:13">
      <c r="A677" s="44"/>
      <c r="B677" s="44"/>
      <c r="C677" s="44"/>
      <c r="D677" s="193"/>
      <c r="E677" s="174"/>
      <c r="F677" s="163"/>
      <c r="G677" s="165"/>
      <c r="H677" s="165"/>
      <c r="I677" s="221"/>
      <c r="J677" s="308"/>
      <c r="K677" s="190"/>
      <c r="L677" s="44"/>
      <c r="M677" s="44"/>
    </row>
    <row r="678" spans="1:13">
      <c r="A678" s="44"/>
      <c r="B678" s="44"/>
      <c r="C678" s="44"/>
      <c r="D678" s="193"/>
      <c r="E678" s="174"/>
      <c r="F678" s="163"/>
      <c r="G678" s="165"/>
      <c r="H678" s="165"/>
      <c r="I678" s="221"/>
      <c r="J678" s="308"/>
      <c r="K678" s="190"/>
      <c r="L678" s="44"/>
      <c r="M678" s="44"/>
    </row>
    <row r="679" spans="1:13">
      <c r="A679" s="44"/>
      <c r="B679" s="44"/>
      <c r="C679" s="44"/>
      <c r="D679" s="193"/>
      <c r="E679" s="174"/>
      <c r="F679" s="163"/>
      <c r="G679" s="165"/>
      <c r="H679" s="165"/>
      <c r="I679" s="221"/>
      <c r="J679" s="308"/>
      <c r="K679" s="190"/>
      <c r="L679" s="44"/>
      <c r="M679" s="44"/>
    </row>
    <row r="680" spans="1:13">
      <c r="A680" s="44"/>
      <c r="B680" s="44"/>
      <c r="C680" s="44"/>
      <c r="D680" s="193"/>
      <c r="E680" s="174"/>
      <c r="F680" s="163"/>
      <c r="G680" s="165"/>
      <c r="H680" s="165"/>
      <c r="I680" s="221"/>
      <c r="J680" s="308"/>
      <c r="K680" s="190"/>
      <c r="L680" s="44"/>
      <c r="M680" s="44"/>
    </row>
    <row r="681" spans="1:13">
      <c r="A681" s="44"/>
      <c r="B681" s="44"/>
      <c r="C681" s="44"/>
      <c r="D681" s="193"/>
      <c r="E681" s="174"/>
      <c r="F681" s="163"/>
      <c r="G681" s="165"/>
      <c r="H681" s="165"/>
      <c r="I681" s="221"/>
      <c r="J681" s="308"/>
      <c r="K681" s="190"/>
      <c r="L681" s="44"/>
      <c r="M681" s="44"/>
    </row>
    <row r="682" spans="1:13">
      <c r="A682" s="44"/>
      <c r="B682" s="44"/>
      <c r="C682" s="44"/>
      <c r="D682" s="193"/>
      <c r="E682" s="174"/>
      <c r="F682" s="163"/>
      <c r="G682" s="165"/>
      <c r="H682" s="165"/>
      <c r="I682" s="221"/>
      <c r="J682" s="308"/>
      <c r="K682" s="190"/>
      <c r="L682" s="44"/>
      <c r="M682" s="44"/>
    </row>
    <row r="683" spans="1:13">
      <c r="A683" s="44"/>
      <c r="B683" s="44"/>
      <c r="C683" s="44"/>
      <c r="D683" s="193"/>
      <c r="E683" s="174"/>
      <c r="F683" s="163"/>
      <c r="G683" s="165"/>
      <c r="H683" s="165"/>
      <c r="I683" s="221"/>
      <c r="J683" s="308"/>
      <c r="K683" s="190"/>
      <c r="L683" s="44"/>
      <c r="M683" s="44"/>
    </row>
    <row r="684" spans="1:13">
      <c r="A684" s="44"/>
      <c r="B684" s="44"/>
      <c r="C684" s="44"/>
      <c r="D684" s="193"/>
      <c r="E684" s="174"/>
      <c r="F684" s="163"/>
      <c r="G684" s="165"/>
      <c r="H684" s="165"/>
      <c r="I684" s="221"/>
      <c r="J684" s="308"/>
      <c r="K684" s="190"/>
      <c r="L684" s="44"/>
      <c r="M684" s="44"/>
    </row>
    <row r="685" spans="1:13">
      <c r="A685" s="44"/>
      <c r="B685" s="44"/>
      <c r="C685" s="44"/>
      <c r="D685" s="193"/>
      <c r="E685" s="174"/>
      <c r="F685" s="163"/>
      <c r="G685" s="165"/>
      <c r="H685" s="165"/>
      <c r="I685" s="221"/>
      <c r="J685" s="308"/>
      <c r="K685" s="190"/>
      <c r="L685" s="44"/>
      <c r="M685" s="44"/>
    </row>
    <row r="686" spans="1:13">
      <c r="A686" s="44"/>
      <c r="B686" s="44"/>
      <c r="C686" s="44"/>
      <c r="D686" s="193"/>
      <c r="E686" s="174"/>
      <c r="F686" s="163"/>
      <c r="G686" s="165"/>
      <c r="H686" s="165"/>
      <c r="I686" s="221"/>
      <c r="J686" s="308"/>
      <c r="K686" s="190"/>
      <c r="L686" s="44"/>
      <c r="M686" s="44"/>
    </row>
  </sheetData>
  <autoFilter ref="A14:P556"/>
  <mergeCells count="477">
    <mergeCell ref="D462:D464"/>
    <mergeCell ref="B503:B505"/>
    <mergeCell ref="C503:C505"/>
    <mergeCell ref="D503:D505"/>
    <mergeCell ref="C510:C513"/>
    <mergeCell ref="D510:D513"/>
    <mergeCell ref="A510:A513"/>
    <mergeCell ref="D517:D519"/>
    <mergeCell ref="A527:A529"/>
    <mergeCell ref="B527:B529"/>
    <mergeCell ref="C527:C529"/>
    <mergeCell ref="D527:D529"/>
    <mergeCell ref="A489:A493"/>
    <mergeCell ref="A494:A496"/>
    <mergeCell ref="A470:A473"/>
    <mergeCell ref="B470:B473"/>
    <mergeCell ref="C470:C473"/>
    <mergeCell ref="C482:C485"/>
    <mergeCell ref="B486:B488"/>
    <mergeCell ref="C486:C488"/>
    <mergeCell ref="A478:A481"/>
    <mergeCell ref="B478:B481"/>
    <mergeCell ref="C478:C481"/>
    <mergeCell ref="B489:B493"/>
    <mergeCell ref="G10:H10"/>
    <mergeCell ref="G13:P13"/>
    <mergeCell ref="E33:E41"/>
    <mergeCell ref="B33:B41"/>
    <mergeCell ref="C33:C41"/>
    <mergeCell ref="D33:D41"/>
    <mergeCell ref="E29:E31"/>
    <mergeCell ref="D11:M11"/>
    <mergeCell ref="F13:F14"/>
    <mergeCell ref="A13:D13"/>
    <mergeCell ref="D15:D26"/>
    <mergeCell ref="E13:E14"/>
    <mergeCell ref="E15:E26"/>
    <mergeCell ref="E32:F32"/>
    <mergeCell ref="C29:C31"/>
    <mergeCell ref="D29:D31"/>
    <mergeCell ref="A15:A26"/>
    <mergeCell ref="B15:B26"/>
    <mergeCell ref="C15:C26"/>
    <mergeCell ref="A29:A31"/>
    <mergeCell ref="B29:B31"/>
    <mergeCell ref="E168:E172"/>
    <mergeCell ref="A168:A172"/>
    <mergeCell ref="E430:E437"/>
    <mergeCell ref="D438:D445"/>
    <mergeCell ref="B168:B172"/>
    <mergeCell ref="C168:C172"/>
    <mergeCell ref="D168:D172"/>
    <mergeCell ref="A179:A181"/>
    <mergeCell ref="B179:B181"/>
    <mergeCell ref="C179:C181"/>
    <mergeCell ref="D179:D181"/>
    <mergeCell ref="E179:E181"/>
    <mergeCell ref="A173:A178"/>
    <mergeCell ref="D173:D178"/>
    <mergeCell ref="A388:A397"/>
    <mergeCell ref="B388:B397"/>
    <mergeCell ref="C388:C397"/>
    <mergeCell ref="D388:D397"/>
    <mergeCell ref="C372:C379"/>
    <mergeCell ref="D372:D379"/>
    <mergeCell ref="A380:A387"/>
    <mergeCell ref="B380:B387"/>
    <mergeCell ref="D323:D330"/>
    <mergeCell ref="E189:E192"/>
    <mergeCell ref="A547:A549"/>
    <mergeCell ref="B547:B549"/>
    <mergeCell ref="C547:C549"/>
    <mergeCell ref="C380:C387"/>
    <mergeCell ref="D380:D387"/>
    <mergeCell ref="C438:C445"/>
    <mergeCell ref="A356:A363"/>
    <mergeCell ref="A414:A421"/>
    <mergeCell ref="E183:E185"/>
    <mergeCell ref="B510:B513"/>
    <mergeCell ref="A497:A499"/>
    <mergeCell ref="B497:B499"/>
    <mergeCell ref="C497:C499"/>
    <mergeCell ref="D497:D499"/>
    <mergeCell ref="A462:A464"/>
    <mergeCell ref="B462:B464"/>
    <mergeCell ref="A482:A485"/>
    <mergeCell ref="B482:B485"/>
    <mergeCell ref="A474:A477"/>
    <mergeCell ref="B474:B477"/>
    <mergeCell ref="C474:C477"/>
    <mergeCell ref="D474:D477"/>
    <mergeCell ref="D466:D469"/>
    <mergeCell ref="C466:C469"/>
    <mergeCell ref="A550:A554"/>
    <mergeCell ref="B550:B554"/>
    <mergeCell ref="C550:C554"/>
    <mergeCell ref="D550:D554"/>
    <mergeCell ref="A514:A516"/>
    <mergeCell ref="B514:B516"/>
    <mergeCell ref="D547:D549"/>
    <mergeCell ref="D540:D543"/>
    <mergeCell ref="D544:D546"/>
    <mergeCell ref="B520:B523"/>
    <mergeCell ref="A537:A539"/>
    <mergeCell ref="B537:B539"/>
    <mergeCell ref="C537:C539"/>
    <mergeCell ref="D537:D539"/>
    <mergeCell ref="C520:C523"/>
    <mergeCell ref="D520:D523"/>
    <mergeCell ref="A544:A546"/>
    <mergeCell ref="B544:B546"/>
    <mergeCell ref="C544:C546"/>
    <mergeCell ref="A520:A523"/>
    <mergeCell ref="D514:D516"/>
    <mergeCell ref="A517:A519"/>
    <mergeCell ref="B517:B519"/>
    <mergeCell ref="C517:C519"/>
    <mergeCell ref="D189:D192"/>
    <mergeCell ref="A364:A371"/>
    <mergeCell ref="A323:A330"/>
    <mergeCell ref="B323:B330"/>
    <mergeCell ref="C339:C346"/>
    <mergeCell ref="D339:D346"/>
    <mergeCell ref="A372:A379"/>
    <mergeCell ref="B372:B379"/>
    <mergeCell ref="C406:C413"/>
    <mergeCell ref="A331:A338"/>
    <mergeCell ref="B331:B338"/>
    <mergeCell ref="C331:C338"/>
    <mergeCell ref="D331:D338"/>
    <mergeCell ref="A339:A346"/>
    <mergeCell ref="B339:B346"/>
    <mergeCell ref="B364:B371"/>
    <mergeCell ref="C364:C371"/>
    <mergeCell ref="D364:D371"/>
    <mergeCell ref="B356:B363"/>
    <mergeCell ref="C356:C363"/>
    <mergeCell ref="D356:D363"/>
    <mergeCell ref="D406:D413"/>
    <mergeCell ref="A398:A405"/>
    <mergeCell ref="B398:B405"/>
    <mergeCell ref="C398:C405"/>
    <mergeCell ref="D398:D405"/>
    <mergeCell ref="A406:A413"/>
    <mergeCell ref="B406:B413"/>
    <mergeCell ref="A486:A488"/>
    <mergeCell ref="D422:D429"/>
    <mergeCell ref="C414:C421"/>
    <mergeCell ref="D414:D421"/>
    <mergeCell ref="A422:A429"/>
    <mergeCell ref="B422:B429"/>
    <mergeCell ref="B414:B421"/>
    <mergeCell ref="C422:C429"/>
    <mergeCell ref="A430:A437"/>
    <mergeCell ref="B430:B437"/>
    <mergeCell ref="C430:C437"/>
    <mergeCell ref="D430:D437"/>
    <mergeCell ref="D470:D473"/>
    <mergeCell ref="A454:A461"/>
    <mergeCell ref="B454:B461"/>
    <mergeCell ref="C454:C461"/>
    <mergeCell ref="D446:D453"/>
    <mergeCell ref="C446:C453"/>
    <mergeCell ref="B466:B469"/>
    <mergeCell ref="A466:A469"/>
    <mergeCell ref="A533:A535"/>
    <mergeCell ref="B533:B535"/>
    <mergeCell ref="C533:C535"/>
    <mergeCell ref="D533:D535"/>
    <mergeCell ref="C514:C516"/>
    <mergeCell ref="A540:A543"/>
    <mergeCell ref="B540:B543"/>
    <mergeCell ref="C540:C543"/>
    <mergeCell ref="A524:A526"/>
    <mergeCell ref="B524:B526"/>
    <mergeCell ref="C524:C526"/>
    <mergeCell ref="D524:D526"/>
    <mergeCell ref="A530:A532"/>
    <mergeCell ref="B530:B532"/>
    <mergeCell ref="C530:C532"/>
    <mergeCell ref="D530:D532"/>
    <mergeCell ref="A111:A113"/>
    <mergeCell ref="D454:D461"/>
    <mergeCell ref="A438:A445"/>
    <mergeCell ref="B438:B445"/>
    <mergeCell ref="C462:C464"/>
    <mergeCell ref="B494:B496"/>
    <mergeCell ref="C494:C496"/>
    <mergeCell ref="D494:D496"/>
    <mergeCell ref="A506:A508"/>
    <mergeCell ref="B506:B508"/>
    <mergeCell ref="C506:C508"/>
    <mergeCell ref="D506:D508"/>
    <mergeCell ref="A500:A502"/>
    <mergeCell ref="B500:B502"/>
    <mergeCell ref="C500:C502"/>
    <mergeCell ref="D500:D502"/>
    <mergeCell ref="A503:A505"/>
    <mergeCell ref="D489:D493"/>
    <mergeCell ref="C489:C493"/>
    <mergeCell ref="D482:D485"/>
    <mergeCell ref="D486:D488"/>
    <mergeCell ref="D478:D481"/>
    <mergeCell ref="A446:A453"/>
    <mergeCell ref="B446:B453"/>
    <mergeCell ref="B94:B99"/>
    <mergeCell ref="A306:A313"/>
    <mergeCell ref="B306:B313"/>
    <mergeCell ref="C306:C313"/>
    <mergeCell ref="D306:D313"/>
    <mergeCell ref="C42:C47"/>
    <mergeCell ref="B42:B47"/>
    <mergeCell ref="A42:A47"/>
    <mergeCell ref="D48:D53"/>
    <mergeCell ref="C48:C53"/>
    <mergeCell ref="B48:B53"/>
    <mergeCell ref="B165:B167"/>
    <mergeCell ref="A165:A167"/>
    <mergeCell ref="C139:C145"/>
    <mergeCell ref="B139:B145"/>
    <mergeCell ref="A48:A53"/>
    <mergeCell ref="A54:A59"/>
    <mergeCell ref="B54:B59"/>
    <mergeCell ref="A274:A281"/>
    <mergeCell ref="A265:A272"/>
    <mergeCell ref="B265:B272"/>
    <mergeCell ref="B107:B110"/>
    <mergeCell ref="B257:B264"/>
    <mergeCell ref="B111:B113"/>
    <mergeCell ref="B206:B213"/>
    <mergeCell ref="A314:A321"/>
    <mergeCell ref="B314:B321"/>
    <mergeCell ref="D94:D99"/>
    <mergeCell ref="A127:A132"/>
    <mergeCell ref="B173:B178"/>
    <mergeCell ref="C189:C192"/>
    <mergeCell ref="B189:B192"/>
    <mergeCell ref="A189:A192"/>
    <mergeCell ref="D183:D185"/>
    <mergeCell ref="C183:C185"/>
    <mergeCell ref="C133:C135"/>
    <mergeCell ref="B127:B132"/>
    <mergeCell ref="C127:C132"/>
    <mergeCell ref="B120:B125"/>
    <mergeCell ref="A120:A125"/>
    <mergeCell ref="B117:B119"/>
    <mergeCell ref="A117:A119"/>
    <mergeCell ref="D127:D132"/>
    <mergeCell ref="D186:D188"/>
    <mergeCell ref="D117:D119"/>
    <mergeCell ref="C117:C119"/>
    <mergeCell ref="D114:D116"/>
    <mergeCell ref="A94:A99"/>
    <mergeCell ref="A147:A150"/>
    <mergeCell ref="B136:B138"/>
    <mergeCell ref="A136:A138"/>
    <mergeCell ref="B290:B297"/>
    <mergeCell ref="C290:C297"/>
    <mergeCell ref="A290:A297"/>
    <mergeCell ref="C257:C264"/>
    <mergeCell ref="A257:A264"/>
    <mergeCell ref="A231:A238"/>
    <mergeCell ref="B193:B196"/>
    <mergeCell ref="A193:A196"/>
    <mergeCell ref="B183:B185"/>
    <mergeCell ref="A183:A185"/>
    <mergeCell ref="A186:A188"/>
    <mergeCell ref="B186:B188"/>
    <mergeCell ref="C151:C156"/>
    <mergeCell ref="A222:A230"/>
    <mergeCell ref="B222:B230"/>
    <mergeCell ref="A214:A221"/>
    <mergeCell ref="B214:B221"/>
    <mergeCell ref="B198:B205"/>
    <mergeCell ref="B231:B238"/>
    <mergeCell ref="A198:A205"/>
    <mergeCell ref="A206:A213"/>
    <mergeCell ref="E85:E87"/>
    <mergeCell ref="A79:A84"/>
    <mergeCell ref="B79:B84"/>
    <mergeCell ref="C79:C84"/>
    <mergeCell ref="A66:A71"/>
    <mergeCell ref="B66:B71"/>
    <mergeCell ref="C66:C71"/>
    <mergeCell ref="C60:C65"/>
    <mergeCell ref="B60:B65"/>
    <mergeCell ref="E173:E178"/>
    <mergeCell ref="E186:E188"/>
    <mergeCell ref="E193:E196"/>
    <mergeCell ref="D193:D196"/>
    <mergeCell ref="E54:E59"/>
    <mergeCell ref="A298:A305"/>
    <mergeCell ref="B298:B305"/>
    <mergeCell ref="C298:C305"/>
    <mergeCell ref="D298:D305"/>
    <mergeCell ref="C282:C289"/>
    <mergeCell ref="D282:D289"/>
    <mergeCell ref="A239:A247"/>
    <mergeCell ref="B239:B247"/>
    <mergeCell ref="D265:D272"/>
    <mergeCell ref="D239:D247"/>
    <mergeCell ref="A249:A256"/>
    <mergeCell ref="B249:B256"/>
    <mergeCell ref="B274:B281"/>
    <mergeCell ref="C274:C281"/>
    <mergeCell ref="D249:D256"/>
    <mergeCell ref="D274:D281"/>
    <mergeCell ref="C265:C272"/>
    <mergeCell ref="A282:A289"/>
    <mergeCell ref="B282:B289"/>
    <mergeCell ref="E107:E110"/>
    <mergeCell ref="E506:E508"/>
    <mergeCell ref="E500:E502"/>
    <mergeCell ref="E503:E505"/>
    <mergeCell ref="E494:E496"/>
    <mergeCell ref="E497:E499"/>
    <mergeCell ref="E48:E53"/>
    <mergeCell ref="E42:E47"/>
    <mergeCell ref="D79:D84"/>
    <mergeCell ref="E79:E84"/>
    <mergeCell ref="D139:D145"/>
    <mergeCell ref="D198:D205"/>
    <mergeCell ref="D72:D78"/>
    <mergeCell ref="D42:D47"/>
    <mergeCell ref="E100:F100"/>
    <mergeCell ref="D151:D156"/>
    <mergeCell ref="E139:E145"/>
    <mergeCell ref="E136:E138"/>
    <mergeCell ref="E133:E135"/>
    <mergeCell ref="E126:F126"/>
    <mergeCell ref="E146:F146"/>
    <mergeCell ref="E182:F182"/>
    <mergeCell ref="D157:D164"/>
    <mergeCell ref="D165:D167"/>
    <mergeCell ref="E550:E554"/>
    <mergeCell ref="E536:F536"/>
    <mergeCell ref="E547:E549"/>
    <mergeCell ref="E509:F509"/>
    <mergeCell ref="E510:E513"/>
    <mergeCell ref="E514:E516"/>
    <mergeCell ref="E466:E469"/>
    <mergeCell ref="E470:E473"/>
    <mergeCell ref="E465:F465"/>
    <mergeCell ref="E540:E543"/>
    <mergeCell ref="E544:E546"/>
    <mergeCell ref="E537:E539"/>
    <mergeCell ref="E478:E481"/>
    <mergeCell ref="E482:E485"/>
    <mergeCell ref="E486:E488"/>
    <mergeCell ref="E517:E519"/>
    <mergeCell ref="E489:E493"/>
    <mergeCell ref="E474:E477"/>
    <mergeCell ref="E520:E523"/>
    <mergeCell ref="E533:E535"/>
    <mergeCell ref="E527:E529"/>
    <mergeCell ref="E524:E526"/>
    <mergeCell ref="E530:E532"/>
    <mergeCell ref="E414:E421"/>
    <mergeCell ref="E88:E93"/>
    <mergeCell ref="E60:E65"/>
    <mergeCell ref="E66:E71"/>
    <mergeCell ref="E165:E167"/>
    <mergeCell ref="E72:E78"/>
    <mergeCell ref="E151:E156"/>
    <mergeCell ref="E372:E379"/>
    <mergeCell ref="E380:E387"/>
    <mergeCell ref="E273:F273"/>
    <mergeCell ref="E282:E289"/>
    <mergeCell ref="E249:E256"/>
    <mergeCell ref="E231:E238"/>
    <mergeCell ref="E239:E247"/>
    <mergeCell ref="E290:E297"/>
    <mergeCell ref="E298:E305"/>
    <mergeCell ref="E306:E313"/>
    <mergeCell ref="E314:E321"/>
    <mergeCell ref="E274:E281"/>
    <mergeCell ref="E197:F197"/>
    <mergeCell ref="E101:E106"/>
    <mergeCell ref="E114:E116"/>
    <mergeCell ref="E94:E99"/>
    <mergeCell ref="E127:E132"/>
    <mergeCell ref="E147:E150"/>
    <mergeCell ref="C249:C256"/>
    <mergeCell ref="C198:C205"/>
    <mergeCell ref="D214:D221"/>
    <mergeCell ref="D222:D230"/>
    <mergeCell ref="E438:E445"/>
    <mergeCell ref="E446:E453"/>
    <mergeCell ref="E364:E371"/>
    <mergeCell ref="E398:E405"/>
    <mergeCell ref="E198:E205"/>
    <mergeCell ref="E206:E213"/>
    <mergeCell ref="E422:E429"/>
    <mergeCell ref="E339:E346"/>
    <mergeCell ref="E322:F322"/>
    <mergeCell ref="E356:E363"/>
    <mergeCell ref="E323:E330"/>
    <mergeCell ref="E331:E338"/>
    <mergeCell ref="E222:E230"/>
    <mergeCell ref="E388:E397"/>
    <mergeCell ref="E248:F248"/>
    <mergeCell ref="D231:D238"/>
    <mergeCell ref="D290:D297"/>
    <mergeCell ref="D257:D264"/>
    <mergeCell ref="E406:E413"/>
    <mergeCell ref="C94:C99"/>
    <mergeCell ref="A60:A65"/>
    <mergeCell ref="C72:C78"/>
    <mergeCell ref="B72:B78"/>
    <mergeCell ref="A72:A78"/>
    <mergeCell ref="E454:E461"/>
    <mergeCell ref="E462:E464"/>
    <mergeCell ref="C136:C138"/>
    <mergeCell ref="C239:C247"/>
    <mergeCell ref="C222:C230"/>
    <mergeCell ref="C214:C221"/>
    <mergeCell ref="C206:C213"/>
    <mergeCell ref="C173:C178"/>
    <mergeCell ref="C193:C196"/>
    <mergeCell ref="C231:C238"/>
    <mergeCell ref="C165:C167"/>
    <mergeCell ref="E257:E264"/>
    <mergeCell ref="E265:E272"/>
    <mergeCell ref="E214:E221"/>
    <mergeCell ref="C314:C321"/>
    <mergeCell ref="D314:D321"/>
    <mergeCell ref="C323:C330"/>
    <mergeCell ref="C186:C188"/>
    <mergeCell ref="D206:D213"/>
    <mergeCell ref="E117:E119"/>
    <mergeCell ref="A151:A156"/>
    <mergeCell ref="C157:C164"/>
    <mergeCell ref="B157:B164"/>
    <mergeCell ref="A157:A164"/>
    <mergeCell ref="D54:D59"/>
    <mergeCell ref="D88:D93"/>
    <mergeCell ref="C88:C93"/>
    <mergeCell ref="B88:B93"/>
    <mergeCell ref="A88:A93"/>
    <mergeCell ref="A101:A106"/>
    <mergeCell ref="D107:D110"/>
    <mergeCell ref="D60:D65"/>
    <mergeCell ref="B85:B87"/>
    <mergeCell ref="C85:C87"/>
    <mergeCell ref="A85:A87"/>
    <mergeCell ref="C107:C110"/>
    <mergeCell ref="C54:C59"/>
    <mergeCell ref="A107:A110"/>
    <mergeCell ref="B101:B106"/>
    <mergeCell ref="D101:D106"/>
    <mergeCell ref="C101:C106"/>
    <mergeCell ref="D85:D87"/>
    <mergeCell ref="D66:D71"/>
    <mergeCell ref="A347:A355"/>
    <mergeCell ref="B347:B355"/>
    <mergeCell ref="C347:C355"/>
    <mergeCell ref="D347:D355"/>
    <mergeCell ref="E347:E355"/>
    <mergeCell ref="E157:E164"/>
    <mergeCell ref="D136:D138"/>
    <mergeCell ref="D133:D135"/>
    <mergeCell ref="E111:E113"/>
    <mergeCell ref="A139:A145"/>
    <mergeCell ref="B147:B150"/>
    <mergeCell ref="B151:B156"/>
    <mergeCell ref="C114:C116"/>
    <mergeCell ref="D111:D113"/>
    <mergeCell ref="C147:C150"/>
    <mergeCell ref="D147:D150"/>
    <mergeCell ref="D120:D125"/>
    <mergeCell ref="E120:E125"/>
    <mergeCell ref="B133:B135"/>
    <mergeCell ref="A133:A135"/>
    <mergeCell ref="C120:C125"/>
    <mergeCell ref="C111:C113"/>
    <mergeCell ref="B114:B116"/>
    <mergeCell ref="A114:A116"/>
  </mergeCells>
  <pageMargins left="0.43307086614173229" right="0.15748031496062992" top="0.39370078740157483" bottom="0.35433070866141736" header="0.19685039370078741" footer="0.31496062992125984"/>
  <pageSetup paperSize="9" scale="70" fitToHeight="4" orientation="landscape" r:id="rId1"/>
  <headerFooter differentFirst="1">
    <oddHeader>&amp;C&amp;P</oddHeader>
  </headerFooter>
  <rowBreaks count="20" manualBreakCount="20">
    <brk id="36" max="15" man="1"/>
    <brk id="63" max="15" man="1"/>
    <brk id="87" max="15" man="1"/>
    <brk id="116" max="15" man="1"/>
    <brk id="138" max="15" man="1"/>
    <brk id="164" max="15" man="1"/>
    <brk id="186" max="15" man="1"/>
    <brk id="213" max="15" man="1"/>
    <brk id="247" max="15" man="1"/>
    <brk id="274" max="15" man="1"/>
    <brk id="306" max="15" man="1"/>
    <brk id="338" max="15" man="1"/>
    <brk id="372" max="15" man="1"/>
    <brk id="405" max="15" man="1"/>
    <brk id="437" max="15" man="1"/>
    <brk id="469" max="15" man="1"/>
    <brk id="493" max="15" man="1"/>
    <brk id="505" max="15" man="1"/>
    <brk id="526" max="15" man="1"/>
    <brk id="543" max="15" man="1"/>
  </rowBreaks>
  <legacyDrawing r:id="rId2"/>
</worksheet>
</file>

<file path=xl/worksheets/sheet8.xml><?xml version="1.0" encoding="utf-8"?>
<worksheet xmlns="http://schemas.openxmlformats.org/spreadsheetml/2006/main" xmlns:r="http://schemas.openxmlformats.org/officeDocument/2006/relationships">
  <dimension ref="A1:AD34"/>
  <sheetViews>
    <sheetView view="pageBreakPreview" topLeftCell="A22" zoomScale="90" zoomScaleNormal="100" zoomScaleSheetLayoutView="90" workbookViewId="0">
      <selection activeCell="H24" sqref="H24"/>
    </sheetView>
  </sheetViews>
  <sheetFormatPr defaultRowHeight="15"/>
  <cols>
    <col min="1" max="1" width="32.7109375" style="58" customWidth="1"/>
    <col min="2" max="2" width="22.28515625" style="58" customWidth="1"/>
    <col min="3" max="3" width="17.7109375" style="58" customWidth="1"/>
    <col min="4" max="7" width="21.42578125" style="58" customWidth="1"/>
    <col min="8" max="8" width="14.5703125" style="58" customWidth="1"/>
    <col min="9" max="16384" width="9.140625" style="58"/>
  </cols>
  <sheetData>
    <row r="1" spans="1:13" ht="18.75">
      <c r="D1" s="460" t="s">
        <v>183</v>
      </c>
      <c r="E1" s="460"/>
      <c r="F1" s="460"/>
      <c r="G1" s="460"/>
    </row>
    <row r="2" spans="1:13" ht="18.75">
      <c r="D2" s="460" t="s">
        <v>431</v>
      </c>
      <c r="E2" s="460"/>
      <c r="F2" s="460"/>
      <c r="G2" s="460"/>
    </row>
    <row r="3" spans="1:13" ht="18.75">
      <c r="D3" s="657" t="s">
        <v>432</v>
      </c>
      <c r="E3" s="657"/>
      <c r="F3" s="657"/>
      <c r="G3" s="657"/>
    </row>
    <row r="4" spans="1:13" ht="18.75">
      <c r="D4" s="657" t="s">
        <v>617</v>
      </c>
      <c r="E4" s="657"/>
      <c r="F4" s="657"/>
      <c r="G4" s="657"/>
    </row>
    <row r="5" spans="1:13">
      <c r="D5" s="438"/>
      <c r="E5" s="438"/>
      <c r="F5" s="438"/>
      <c r="G5" s="438"/>
    </row>
    <row r="6" spans="1:13" ht="18.75">
      <c r="A6" s="119"/>
      <c r="B6" s="119"/>
      <c r="D6" s="658" t="s">
        <v>471</v>
      </c>
      <c r="E6" s="658"/>
      <c r="F6" s="658"/>
      <c r="G6" s="658"/>
      <c r="H6" s="125"/>
      <c r="I6" s="154"/>
      <c r="J6" s="154"/>
      <c r="K6" s="155"/>
      <c r="L6" s="155"/>
      <c r="M6" s="156"/>
    </row>
    <row r="7" spans="1:13" ht="18.75">
      <c r="A7" s="119"/>
      <c r="B7" s="119"/>
      <c r="D7" s="656" t="s">
        <v>179</v>
      </c>
      <c r="E7" s="656"/>
      <c r="F7" s="656"/>
      <c r="G7" s="656"/>
      <c r="H7" s="125"/>
      <c r="I7" s="121"/>
      <c r="J7" s="154"/>
      <c r="K7" s="157"/>
      <c r="L7" s="157"/>
      <c r="M7" s="157"/>
    </row>
    <row r="8" spans="1:13" ht="19.5" customHeight="1">
      <c r="A8" s="119"/>
      <c r="D8" s="655" t="s">
        <v>173</v>
      </c>
      <c r="E8" s="655"/>
      <c r="F8" s="655"/>
      <c r="G8" s="655"/>
      <c r="H8" s="125"/>
      <c r="I8" s="121"/>
      <c r="J8" s="154"/>
      <c r="K8" s="158"/>
      <c r="L8" s="158"/>
      <c r="M8" s="158"/>
    </row>
    <row r="9" spans="1:13" ht="18.75">
      <c r="A9" s="119"/>
      <c r="B9" s="119"/>
      <c r="C9" s="240"/>
      <c r="D9" s="113"/>
      <c r="E9" s="113"/>
      <c r="F9" s="113"/>
      <c r="G9" s="113"/>
      <c r="H9" s="125"/>
      <c r="I9" s="130"/>
      <c r="J9" s="130"/>
      <c r="K9" s="130"/>
      <c r="L9" s="130"/>
      <c r="M9" s="130"/>
    </row>
    <row r="10" spans="1:13" ht="90.75" customHeight="1">
      <c r="A10" s="588" t="s">
        <v>364</v>
      </c>
      <c r="B10" s="588"/>
      <c r="C10" s="588"/>
      <c r="D10" s="588"/>
      <c r="E10" s="588"/>
      <c r="F10" s="588"/>
      <c r="G10" s="588"/>
      <c r="H10" s="185"/>
      <c r="I10" s="185"/>
      <c r="J10" s="185"/>
      <c r="K10" s="185"/>
      <c r="L10" s="185"/>
      <c r="M10" s="185"/>
    </row>
    <row r="11" spans="1:13">
      <c r="A11" s="60"/>
      <c r="B11" s="60"/>
      <c r="C11" s="61"/>
      <c r="D11" s="61"/>
      <c r="E11" s="61"/>
      <c r="F11" s="61"/>
      <c r="G11" s="61"/>
      <c r="H11" s="75"/>
      <c r="I11" s="131"/>
      <c r="J11" s="131"/>
      <c r="K11" s="131"/>
      <c r="L11" s="131"/>
      <c r="M11" s="131"/>
    </row>
    <row r="12" spans="1:13" ht="57">
      <c r="A12" s="186" t="s">
        <v>0</v>
      </c>
      <c r="B12" s="534" t="s">
        <v>133</v>
      </c>
      <c r="C12" s="534"/>
      <c r="D12" s="534"/>
      <c r="E12" s="534"/>
      <c r="F12" s="534"/>
      <c r="G12" s="534"/>
      <c r="H12" s="187"/>
      <c r="I12" s="131"/>
      <c r="J12" s="131"/>
      <c r="K12" s="131"/>
      <c r="L12" s="131"/>
      <c r="M12" s="131"/>
    </row>
    <row r="13" spans="1:13" ht="18.75">
      <c r="A13" s="188"/>
      <c r="B13" s="651" t="s">
        <v>134</v>
      </c>
      <c r="C13" s="651"/>
      <c r="D13" s="651"/>
      <c r="E13" s="651"/>
      <c r="F13" s="651"/>
      <c r="G13" s="651"/>
      <c r="H13" s="75"/>
      <c r="I13" s="131"/>
      <c r="J13" s="131"/>
      <c r="K13" s="131"/>
      <c r="L13" s="131"/>
      <c r="M13" s="131"/>
    </row>
    <row r="14" spans="1:13" ht="37.5" customHeight="1">
      <c r="A14" s="186" t="s">
        <v>2</v>
      </c>
      <c r="B14" s="652" t="s">
        <v>230</v>
      </c>
      <c r="C14" s="652"/>
      <c r="D14" s="652"/>
      <c r="E14" s="652"/>
      <c r="F14" s="652"/>
      <c r="G14" s="652"/>
      <c r="H14" s="126"/>
      <c r="I14" s="131"/>
      <c r="J14" s="131"/>
      <c r="K14" s="131"/>
      <c r="L14" s="131"/>
      <c r="M14" s="131"/>
    </row>
    <row r="15" spans="1:13" ht="28.5" customHeight="1">
      <c r="A15" s="62"/>
      <c r="B15" s="653" t="s">
        <v>3</v>
      </c>
      <c r="C15" s="653"/>
      <c r="D15" s="653"/>
      <c r="E15" s="653"/>
      <c r="F15" s="653"/>
      <c r="G15" s="653"/>
      <c r="H15" s="75"/>
      <c r="I15" s="131"/>
      <c r="J15" s="131"/>
      <c r="K15" s="131"/>
      <c r="L15" s="131"/>
      <c r="M15" s="131"/>
    </row>
    <row r="16" spans="1:13" ht="18" customHeight="1">
      <c r="A16" s="62"/>
      <c r="B16" s="296"/>
      <c r="C16" s="296"/>
      <c r="D16" s="296"/>
      <c r="E16" s="436"/>
      <c r="F16" s="436"/>
      <c r="G16" s="360"/>
      <c r="H16" s="75"/>
      <c r="I16" s="131"/>
      <c r="J16" s="131"/>
      <c r="K16" s="131"/>
      <c r="L16" s="131"/>
      <c r="M16" s="131"/>
    </row>
    <row r="17" spans="1:30" ht="18.75">
      <c r="A17" s="565" t="s">
        <v>294</v>
      </c>
      <c r="B17" s="565"/>
      <c r="C17" s="565"/>
      <c r="D17" s="565"/>
      <c r="E17" s="654"/>
      <c r="F17" s="654"/>
      <c r="G17" s="654"/>
    </row>
    <row r="18" spans="1:30">
      <c r="D18" s="11" t="s">
        <v>302</v>
      </c>
      <c r="E18" s="11"/>
      <c r="F18" s="11"/>
      <c r="G18" s="11"/>
      <c r="S18" s="11" t="s">
        <v>289</v>
      </c>
      <c r="AD18" s="11" t="s">
        <v>301</v>
      </c>
    </row>
    <row r="19" spans="1:30" ht="130.5" customHeight="1">
      <c r="A19" s="647" t="s">
        <v>118</v>
      </c>
      <c r="B19" s="647" t="s">
        <v>635</v>
      </c>
      <c r="C19" s="648" t="s">
        <v>290</v>
      </c>
      <c r="D19" s="649"/>
      <c r="E19" s="649"/>
      <c r="F19" s="649"/>
      <c r="G19" s="650"/>
    </row>
    <row r="20" spans="1:30" ht="18.75">
      <c r="A20" s="647"/>
      <c r="B20" s="647"/>
      <c r="C20" s="361" t="s">
        <v>73</v>
      </c>
      <c r="D20" s="361" t="s">
        <v>74</v>
      </c>
      <c r="E20" s="435" t="s">
        <v>84</v>
      </c>
      <c r="F20" s="361" t="s">
        <v>85</v>
      </c>
      <c r="G20" s="359" t="s">
        <v>360</v>
      </c>
    </row>
    <row r="21" spans="1:30" ht="15.75">
      <c r="A21" s="287">
        <v>1</v>
      </c>
      <c r="B21" s="287">
        <v>2</v>
      </c>
      <c r="C21" s="287">
        <v>3</v>
      </c>
      <c r="D21" s="287">
        <v>4</v>
      </c>
      <c r="E21" s="434">
        <v>5</v>
      </c>
      <c r="F21" s="434">
        <v>6</v>
      </c>
      <c r="G21" s="358">
        <v>7</v>
      </c>
    </row>
    <row r="22" spans="1:30" ht="18.75">
      <c r="A22" s="241" t="s">
        <v>111</v>
      </c>
      <c r="B22" s="242">
        <f>SUM(C22:G22)</f>
        <v>57242.475000000006</v>
      </c>
      <c r="C22" s="242">
        <f>SUM(C24:C32)</f>
        <v>0</v>
      </c>
      <c r="D22" s="242">
        <f>SUM(D24:D32)</f>
        <v>14346.295</v>
      </c>
      <c r="E22" s="242">
        <v>14346.3</v>
      </c>
      <c r="F22" s="242">
        <v>14203.58</v>
      </c>
      <c r="G22" s="242">
        <v>14346.3</v>
      </c>
      <c r="H22" s="440">
        <f>SUM(E22:G22)</f>
        <v>42896.179999999993</v>
      </c>
    </row>
    <row r="23" spans="1:30" ht="18.75">
      <c r="A23" s="241" t="s">
        <v>291</v>
      </c>
      <c r="B23" s="242">
        <f t="shared" ref="B23:B32" si="0">SUM(C23:G23)</f>
        <v>0</v>
      </c>
      <c r="C23" s="242"/>
      <c r="D23" s="242"/>
      <c r="E23" s="242"/>
      <c r="F23" s="242"/>
      <c r="G23" s="242"/>
    </row>
    <row r="24" spans="1:30" ht="75">
      <c r="A24" s="241" t="s">
        <v>295</v>
      </c>
      <c r="B24" s="242">
        <f t="shared" si="0"/>
        <v>46366.398000000001</v>
      </c>
      <c r="C24" s="242">
        <f>SUM('Приложение 7'!J199,'Приложение 7'!J207,'Приложение 7'!J215,'Приложение 7'!J223,'Приложение 7'!J232,'Приложение 7'!J240,'Приложение 7'!J250,'Приложение 7'!J258,'Приложение 7'!J266,'Приложение 7'!J275,'Приложение 7'!J283,'Приложение 7'!J291,'Приложение 7'!J299,'Приложение 7'!J307,'Приложение 7'!J315,'Приложение 7'!J324,'Приложение 7'!J332,'Приложение 7'!J340,'Приложение 7'!J348,'Приложение 7'!J357,'Приложение 7'!J365,'Приложение 7'!J373,'Приложение 7'!J381,'Приложение 7'!J389,'Приложение 7'!J399,'Приложение 7'!J407,'Приложение 7'!J415,'Приложение 7'!J423,'Приложение 7'!J439,'Приложение 7'!J447,'Приложение 7'!J455)</f>
        <v>0</v>
      </c>
      <c r="D24" s="242">
        <f>SUM('Приложение 7'!K199,'Приложение 7'!K207,'Приложение 7'!K215,'Приложение 7'!K223,'Приложение 7'!K232,'Приложение 7'!K240,'Приложение 7'!K250,'Приложение 7'!K258,'Приложение 7'!K266,'Приложение 7'!K275,'Приложение 7'!K283,'Приложение 7'!K291,'Приложение 7'!K299,'Приложение 7'!K307,'Приложение 7'!K315,'Приложение 7'!K324,'Приложение 7'!K332,'Приложение 7'!K340,'Приложение 7'!K348,'Приложение 7'!K357,'Приложение 7'!K365,'Приложение 7'!K373,'Приложение 7'!K381,'Приложение 7'!K389,'Приложение 7'!K399,'Приложение 7'!K407,'Приложение 7'!K415,'Приложение 7'!K423,'Приложение 7'!K439,'Приложение 7'!K447,'Приложение 7'!K455)</f>
        <v>11620.498</v>
      </c>
      <c r="E24" s="242">
        <v>11620.5</v>
      </c>
      <c r="F24" s="242">
        <v>11504.9</v>
      </c>
      <c r="G24" s="242">
        <v>11620.5</v>
      </c>
    </row>
    <row r="25" spans="1:30" ht="75">
      <c r="A25" s="241" t="s">
        <v>296</v>
      </c>
      <c r="B25" s="242">
        <f t="shared" si="0"/>
        <v>0</v>
      </c>
      <c r="C25" s="242">
        <v>0</v>
      </c>
      <c r="D25" s="242">
        <v>0</v>
      </c>
      <c r="E25" s="242">
        <v>0</v>
      </c>
      <c r="F25" s="242">
        <v>0</v>
      </c>
      <c r="G25" s="242">
        <v>0</v>
      </c>
    </row>
    <row r="26" spans="1:30" ht="75">
      <c r="A26" s="241" t="s">
        <v>297</v>
      </c>
      <c r="B26" s="242">
        <f t="shared" si="0"/>
        <v>0</v>
      </c>
      <c r="C26" s="242">
        <v>0</v>
      </c>
      <c r="D26" s="242">
        <v>0</v>
      </c>
      <c r="E26" s="242">
        <v>0</v>
      </c>
      <c r="F26" s="242">
        <v>0</v>
      </c>
      <c r="G26" s="242">
        <v>0</v>
      </c>
    </row>
    <row r="27" spans="1:30" ht="75">
      <c r="A27" s="241" t="s">
        <v>298</v>
      </c>
      <c r="B27" s="242">
        <f t="shared" si="0"/>
        <v>0</v>
      </c>
      <c r="C27" s="242">
        <v>0</v>
      </c>
      <c r="D27" s="242">
        <v>0</v>
      </c>
      <c r="E27" s="242">
        <v>0</v>
      </c>
      <c r="F27" s="242">
        <v>0</v>
      </c>
      <c r="G27" s="242">
        <v>0</v>
      </c>
    </row>
    <row r="28" spans="1:30" ht="75">
      <c r="A28" s="241" t="s">
        <v>299</v>
      </c>
      <c r="B28" s="242">
        <f t="shared" si="0"/>
        <v>0</v>
      </c>
      <c r="C28" s="242">
        <v>0</v>
      </c>
      <c r="D28" s="242">
        <v>0</v>
      </c>
      <c r="E28" s="242">
        <v>0</v>
      </c>
      <c r="F28" s="242">
        <v>0</v>
      </c>
      <c r="G28" s="242">
        <v>0</v>
      </c>
      <c r="L28" s="440"/>
    </row>
    <row r="29" spans="1:30" ht="75">
      <c r="A29" s="241" t="s">
        <v>300</v>
      </c>
      <c r="B29" s="242">
        <f t="shared" si="0"/>
        <v>0</v>
      </c>
      <c r="C29" s="242">
        <v>0</v>
      </c>
      <c r="D29" s="242">
        <v>0</v>
      </c>
      <c r="E29" s="242">
        <v>0</v>
      </c>
      <c r="F29" s="242">
        <v>0</v>
      </c>
      <c r="G29" s="242">
        <v>0</v>
      </c>
    </row>
    <row r="30" spans="1:30" ht="37.5">
      <c r="A30" s="241" t="s">
        <v>359</v>
      </c>
      <c r="B30" s="242">
        <f t="shared" si="0"/>
        <v>10876.077000000001</v>
      </c>
      <c r="C30" s="242">
        <f>SUM('Приложение 7'!J200,'Приложение 7'!J208,'Приложение 7'!J216,'Приложение 7'!J224,'Приложение 7'!J233,'Приложение 7'!J241,'Приложение 7'!J251,'Приложение 7'!J259,'Приложение 7'!J267,'Приложение 7'!J276,'Приложение 7'!J284,'Приложение 7'!J292,'Приложение 7'!J300,'Приложение 7'!J308,'Приложение 7'!J316,'Приложение 7'!J325,'Приложение 7'!J333,'Приложение 7'!J341,'Приложение 7'!J349,'Приложение 7'!J358,'Приложение 7'!J366,'Приложение 7'!J374,'Приложение 7'!J382,'Приложение 7'!J390,'Приложение 7'!J400,'Приложение 7'!J408,'Приложение 7'!J416,'Приложение 7'!J424,'Приложение 7'!J440,'Приложение 7'!J448,'Приложение 7'!J456)</f>
        <v>0</v>
      </c>
      <c r="D30" s="242">
        <f>SUM('Приложение 7'!K200,'Приложение 7'!K208,'Приложение 7'!K216,'Приложение 7'!K224,'Приложение 7'!K233,'Приложение 7'!K241,'Приложение 7'!K251,'Приложение 7'!K259,'Приложение 7'!K267,'Приложение 7'!K276,'Приложение 7'!K284,'Приложение 7'!K292,'Приложение 7'!K300,'Приложение 7'!K308,'Приложение 7'!K316,'Приложение 7'!K325,'Приложение 7'!K333,'Приложение 7'!K341,'Приложение 7'!K349,'Приложение 7'!K358,'Приложение 7'!K366,'Приложение 7'!K374,'Приложение 7'!K382,'Приложение 7'!K390,'Приложение 7'!K400,'Приложение 7'!K408,'Приложение 7'!K416,'Приложение 7'!K424,'Приложение 7'!K440,'Приложение 7'!K448,'Приложение 7'!K456)</f>
        <v>2725.797</v>
      </c>
      <c r="E30" s="242">
        <v>2725.8</v>
      </c>
      <c r="F30" s="242">
        <v>2698.68</v>
      </c>
      <c r="G30" s="242">
        <v>2725.8</v>
      </c>
    </row>
    <row r="31" spans="1:30" ht="63" customHeight="1">
      <c r="A31" s="241" t="s">
        <v>477</v>
      </c>
      <c r="B31" s="242">
        <f t="shared" si="0"/>
        <v>0</v>
      </c>
      <c r="C31" s="242">
        <f>SUM('Приложение 7'!J203,'Приложение 7'!J211,'Приложение 7'!J219,'Приложение 7'!J227,'Приложение 7'!J236,'Приложение 7'!J244,'Приложение 7'!J254,'Приложение 7'!J262,'Приложение 7'!J270,'Приложение 7'!J279,'Приложение 7'!J287,'Приложение 7'!J295,'Приложение 7'!J303,'Приложение 7'!J311,'Приложение 7'!J319,'Приложение 7'!J328,'Приложение 7'!J336,'Приложение 7'!J344,'Приложение 7'!J352,'Приложение 7'!J361,'Приложение 7'!J369,'Приложение 7'!J377,'Приложение 7'!J385,'Приложение 7'!J393,'Приложение 7'!J403,'Приложение 7'!J411,'Приложение 7'!J419,'Приложение 7'!J427,'Приложение 7'!J443,'Приложение 7'!J451,'Приложение 7'!J459)</f>
        <v>0</v>
      </c>
      <c r="D31" s="242">
        <f>SUM('Приложение 7'!K203,'Приложение 7'!K211,'Приложение 7'!K219,'Приложение 7'!K227,'Приложение 7'!K236,'Приложение 7'!K244,'Приложение 7'!K254,'Приложение 7'!K262,'Приложение 7'!K270,'Приложение 7'!K279,'Приложение 7'!K287,'Приложение 7'!K295,'Приложение 7'!K303,'Приложение 7'!K311,'Приложение 7'!K319,'Приложение 7'!K328,'Приложение 7'!K336,'Приложение 7'!K344,'Приложение 7'!K352,'Приложение 7'!K361,'Приложение 7'!K369,'Приложение 7'!K377,'Приложение 7'!K385,'Приложение 7'!K393,'Приложение 7'!K403,'Приложение 7'!K411,'Приложение 7'!K419,'Приложение 7'!K427,'Приложение 7'!K443,'Приложение 7'!K451,'Приложение 7'!K459)</f>
        <v>0</v>
      </c>
      <c r="E31" s="242">
        <v>0</v>
      </c>
      <c r="F31" s="242">
        <v>0</v>
      </c>
      <c r="G31" s="242">
        <v>0</v>
      </c>
    </row>
    <row r="32" spans="1:30" ht="18.75">
      <c r="A32" s="241" t="s">
        <v>292</v>
      </c>
      <c r="B32" s="242">
        <f t="shared" si="0"/>
        <v>0</v>
      </c>
      <c r="C32" s="242">
        <f>SUM('Приложение 7'!J204,'Приложение 7'!J212,'Приложение 7'!J220,'Приложение 7'!J228,'Приложение 7'!J237,'Приложение 7'!J245,'Приложение 7'!J255,'Приложение 7'!J263,'Приложение 7'!J271,'Приложение 7'!J280,'Приложение 7'!J288,'Приложение 7'!J296,'Приложение 7'!J304,'Приложение 7'!J312,'Приложение 7'!J320,'Приложение 7'!J329,'Приложение 7'!J337,'Приложение 7'!J345,'Приложение 7'!J353,'Приложение 7'!J362,'Приложение 7'!J370,'Приложение 7'!J378,'Приложение 7'!J386,'Приложение 7'!J394,'Приложение 7'!J404,'Приложение 7'!J412,'Приложение 7'!J420,'Приложение 7'!J428,'Приложение 7'!J444,'Приложение 7'!J452,'Приложение 7'!J460)</f>
        <v>0</v>
      </c>
      <c r="D32" s="242">
        <f>SUM('Приложение 7'!K204,'Приложение 7'!K212,'Приложение 7'!K220,'Приложение 7'!K228,'Приложение 7'!K237,'Приложение 7'!K245,'Приложение 7'!K255,'Приложение 7'!K263,'Приложение 7'!K271,'Приложение 7'!K280,'Приложение 7'!K288,'Приложение 7'!K296,'Приложение 7'!K304,'Приложение 7'!K312,'Приложение 7'!K320,'Приложение 7'!K329,'Приложение 7'!K337,'Приложение 7'!K345,'Приложение 7'!K353,'Приложение 7'!K362,'Приложение 7'!K370,'Приложение 7'!K378,'Приложение 7'!K386,'Приложение 7'!K394,'Приложение 7'!K404,'Приложение 7'!K412,'Приложение 7'!K420,'Приложение 7'!K428,'Приложение 7'!K444,'Приложение 7'!K452,'Приложение 7'!K460)</f>
        <v>0</v>
      </c>
      <c r="E32" s="242">
        <v>0</v>
      </c>
      <c r="F32" s="242">
        <v>0</v>
      </c>
      <c r="G32" s="242">
        <v>0</v>
      </c>
    </row>
    <row r="33" spans="1:7" ht="18.75">
      <c r="A33" s="243"/>
      <c r="D33" s="273"/>
      <c r="E33" s="273"/>
      <c r="F33" s="273"/>
      <c r="G33" s="273" t="s">
        <v>443</v>
      </c>
    </row>
    <row r="34" spans="1:7">
      <c r="B34" s="275"/>
      <c r="D34" s="275" t="s">
        <v>459</v>
      </c>
    </row>
  </sheetData>
  <mergeCells count="16">
    <mergeCell ref="B12:G12"/>
    <mergeCell ref="D8:G8"/>
    <mergeCell ref="D7:G7"/>
    <mergeCell ref="D2:G2"/>
    <mergeCell ref="D1:G1"/>
    <mergeCell ref="D3:G3"/>
    <mergeCell ref="D4:G4"/>
    <mergeCell ref="D6:G6"/>
    <mergeCell ref="A10:G10"/>
    <mergeCell ref="A19:A20"/>
    <mergeCell ref="B19:B20"/>
    <mergeCell ref="C19:G19"/>
    <mergeCell ref="B13:G13"/>
    <mergeCell ref="B14:G14"/>
    <mergeCell ref="B15:G15"/>
    <mergeCell ref="A17:G17"/>
  </mergeCells>
  <pageMargins left="0.7" right="0.7" top="0.75" bottom="0.75" header="0.3" footer="0.3"/>
  <pageSetup paperSize="9" scale="55" orientation="portrait" r:id="rId1"/>
</worksheet>
</file>

<file path=xl/worksheets/sheet9.xml><?xml version="1.0" encoding="utf-8"?>
<worksheet xmlns="http://schemas.openxmlformats.org/spreadsheetml/2006/main" xmlns:r="http://schemas.openxmlformats.org/officeDocument/2006/relationships">
  <sheetPr>
    <tabColor rgb="FF92D050"/>
  </sheetPr>
  <dimension ref="A1:M66"/>
  <sheetViews>
    <sheetView view="pageBreakPreview" zoomScale="65" zoomScaleNormal="70" zoomScaleSheetLayoutView="65" zoomScalePageLayoutView="55" workbookViewId="0">
      <selection activeCell="O43" sqref="O43"/>
    </sheetView>
  </sheetViews>
  <sheetFormatPr defaultRowHeight="15"/>
  <cols>
    <col min="1" max="1" width="5.7109375" customWidth="1"/>
    <col min="2" max="2" width="21.7109375" customWidth="1"/>
    <col min="3" max="3" width="24" customWidth="1"/>
    <col min="4" max="4" width="20.140625" customWidth="1"/>
    <col min="5" max="5" width="18.5703125" customWidth="1"/>
    <col min="6" max="6" width="20.42578125" customWidth="1"/>
    <col min="7" max="7" width="17.7109375" customWidth="1"/>
    <col min="8" max="8" width="26.28515625" customWidth="1"/>
    <col min="9" max="9" width="40.28515625" customWidth="1"/>
    <col min="10" max="10" width="74" customWidth="1"/>
    <col min="12" max="12" width="14.5703125" customWidth="1"/>
    <col min="13" max="13" width="28.85546875" customWidth="1"/>
  </cols>
  <sheetData>
    <row r="1" spans="1:10" ht="18.75">
      <c r="J1" s="429" t="s">
        <v>293</v>
      </c>
    </row>
    <row r="2" spans="1:10" ht="18.75">
      <c r="J2" s="429" t="s">
        <v>431</v>
      </c>
    </row>
    <row r="3" spans="1:10" ht="18.75">
      <c r="J3" s="430" t="s">
        <v>432</v>
      </c>
    </row>
    <row r="4" spans="1:10" ht="18.75">
      <c r="J4" s="430" t="s">
        <v>617</v>
      </c>
    </row>
    <row r="5" spans="1:10" ht="24.75" customHeight="1">
      <c r="I5" s="654"/>
      <c r="J5" s="654"/>
    </row>
    <row r="6" spans="1:10" ht="18.75">
      <c r="A6" s="50"/>
      <c r="B6" s="50"/>
      <c r="C6" s="50"/>
      <c r="D6" s="51"/>
      <c r="E6" s="51"/>
      <c r="F6" s="52"/>
      <c r="G6" s="51"/>
      <c r="J6" s="431" t="s">
        <v>473</v>
      </c>
    </row>
    <row r="7" spans="1:10" ht="18.75">
      <c r="A7" s="50"/>
      <c r="B7" s="50"/>
      <c r="C7" s="50"/>
      <c r="D7" s="51"/>
      <c r="E7" s="51"/>
      <c r="F7" s="52"/>
      <c r="G7" s="51"/>
      <c r="J7" s="429" t="s">
        <v>172</v>
      </c>
    </row>
    <row r="8" spans="1:10" ht="21.75" customHeight="1">
      <c r="A8" s="50"/>
      <c r="B8" s="50"/>
      <c r="C8" s="50"/>
      <c r="D8" s="51"/>
      <c r="E8" s="51"/>
      <c r="F8" s="52"/>
      <c r="G8" s="51"/>
      <c r="J8" s="432" t="s">
        <v>184</v>
      </c>
    </row>
    <row r="9" spans="1:10" ht="60" customHeight="1">
      <c r="A9" s="50"/>
      <c r="B9" s="50"/>
      <c r="C9" s="50"/>
      <c r="D9" s="51"/>
      <c r="E9" s="51"/>
      <c r="F9" s="464" t="s">
        <v>440</v>
      </c>
      <c r="G9" s="464"/>
      <c r="I9" s="340"/>
      <c r="J9" s="340"/>
    </row>
    <row r="10" spans="1:10" ht="57.75" customHeight="1">
      <c r="A10" s="50"/>
      <c r="B10" s="32"/>
      <c r="C10" s="669" t="s">
        <v>562</v>
      </c>
      <c r="D10" s="669"/>
      <c r="E10" s="669"/>
      <c r="F10" s="669"/>
      <c r="G10" s="669"/>
      <c r="H10" s="669"/>
      <c r="I10" s="669"/>
    </row>
    <row r="11" spans="1:10">
      <c r="A11" s="34"/>
      <c r="B11" s="34"/>
      <c r="C11" s="34"/>
      <c r="D11" s="35"/>
      <c r="E11" s="35"/>
      <c r="F11" s="52"/>
      <c r="G11" s="51"/>
      <c r="H11" s="51"/>
      <c r="I11" s="50"/>
    </row>
    <row r="12" spans="1:10" ht="19.5">
      <c r="A12" s="670" t="s">
        <v>0</v>
      </c>
      <c r="B12" s="670"/>
      <c r="C12" s="670"/>
      <c r="D12" s="670"/>
      <c r="E12" s="462" t="s">
        <v>132</v>
      </c>
      <c r="F12" s="462"/>
      <c r="G12" s="462"/>
      <c r="H12" s="462"/>
      <c r="I12" s="462"/>
      <c r="J12" s="462"/>
    </row>
    <row r="13" spans="1:10">
      <c r="A13" s="668" t="s">
        <v>20</v>
      </c>
      <c r="B13" s="668"/>
      <c r="C13" s="668"/>
      <c r="D13" s="668"/>
      <c r="E13" s="479" t="s">
        <v>1</v>
      </c>
      <c r="F13" s="479"/>
      <c r="G13" s="479"/>
      <c r="H13" s="479"/>
      <c r="I13" s="479"/>
      <c r="J13" s="479"/>
    </row>
    <row r="14" spans="1:10" ht="19.5">
      <c r="A14" s="668"/>
      <c r="B14" s="668"/>
      <c r="C14" s="668"/>
      <c r="D14" s="668"/>
      <c r="E14" s="462" t="s">
        <v>231</v>
      </c>
      <c r="F14" s="462"/>
      <c r="G14" s="462"/>
      <c r="H14" s="462"/>
      <c r="I14" s="462"/>
      <c r="J14" s="462"/>
    </row>
    <row r="15" spans="1:10">
      <c r="A15" s="37"/>
      <c r="B15" s="37"/>
      <c r="C15" s="50"/>
      <c r="D15" s="36"/>
      <c r="E15" s="479" t="s">
        <v>3</v>
      </c>
      <c r="F15" s="479"/>
      <c r="G15" s="479"/>
      <c r="H15" s="479"/>
      <c r="I15" s="479"/>
      <c r="J15" s="479"/>
    </row>
    <row r="16" spans="1:10">
      <c r="A16" s="37"/>
      <c r="B16" s="37"/>
      <c r="C16" s="50"/>
      <c r="D16" s="36"/>
      <c r="E16" s="339"/>
      <c r="F16" s="339"/>
      <c r="G16" s="339"/>
      <c r="H16" s="339"/>
      <c r="I16" s="339"/>
      <c r="J16" s="339"/>
    </row>
    <row r="17" spans="1:10" ht="18.75">
      <c r="J17" s="276"/>
    </row>
    <row r="18" spans="1:10" ht="15.75">
      <c r="A18" s="37"/>
      <c r="B18" s="37"/>
      <c r="C18" s="342" t="s">
        <v>553</v>
      </c>
      <c r="D18" s="36"/>
      <c r="E18" s="339"/>
      <c r="F18" s="339"/>
      <c r="G18" s="339"/>
      <c r="H18" s="339"/>
      <c r="I18" s="339"/>
      <c r="J18" s="339"/>
    </row>
    <row r="19" spans="1:10" ht="73.5" customHeight="1">
      <c r="A19" s="667" t="s">
        <v>402</v>
      </c>
      <c r="B19" s="667" t="s">
        <v>403</v>
      </c>
      <c r="C19" s="667" t="s">
        <v>404</v>
      </c>
      <c r="D19" s="667"/>
      <c r="E19" s="667"/>
      <c r="F19" s="663" t="s">
        <v>408</v>
      </c>
      <c r="G19" s="663" t="s">
        <v>409</v>
      </c>
      <c r="H19" s="663" t="s">
        <v>410</v>
      </c>
      <c r="I19" s="663" t="s">
        <v>411</v>
      </c>
      <c r="J19" s="663" t="s">
        <v>412</v>
      </c>
    </row>
    <row r="20" spans="1:10" ht="108" customHeight="1">
      <c r="A20" s="667"/>
      <c r="B20" s="667"/>
      <c r="C20" s="341" t="s">
        <v>405</v>
      </c>
      <c r="D20" s="341" t="s">
        <v>406</v>
      </c>
      <c r="E20" s="341" t="s">
        <v>407</v>
      </c>
      <c r="F20" s="664"/>
      <c r="G20" s="664"/>
      <c r="H20" s="664"/>
      <c r="I20" s="664"/>
      <c r="J20" s="664"/>
    </row>
    <row r="21" spans="1:10" ht="40.5" customHeight="1">
      <c r="A21" s="341">
        <v>1</v>
      </c>
      <c r="B21" s="341">
        <v>2</v>
      </c>
      <c r="C21" s="341">
        <v>3</v>
      </c>
      <c r="D21" s="341">
        <v>4</v>
      </c>
      <c r="E21" s="237">
        <v>5</v>
      </c>
      <c r="F21" s="237">
        <v>6</v>
      </c>
      <c r="G21" s="237">
        <v>7</v>
      </c>
      <c r="H21" s="237">
        <v>8</v>
      </c>
      <c r="I21" s="237">
        <v>9</v>
      </c>
      <c r="J21" s="238">
        <v>10</v>
      </c>
    </row>
    <row r="22" spans="1:10" ht="136.5" customHeight="1">
      <c r="A22" s="341">
        <v>1</v>
      </c>
      <c r="B22" s="234" t="s">
        <v>413</v>
      </c>
      <c r="C22" s="235">
        <v>577.41</v>
      </c>
      <c r="D22" s="235">
        <v>2461.59</v>
      </c>
      <c r="E22" s="236">
        <f t="shared" ref="E22:E30" si="0">SUM(C22,D22)</f>
        <v>3039</v>
      </c>
      <c r="F22" s="236">
        <f>E22/E32*100</f>
        <v>21.18316220907133</v>
      </c>
      <c r="G22" s="236">
        <v>0</v>
      </c>
      <c r="H22" s="236">
        <f t="shared" ref="H22:H30" si="1">SUM(E22,G22)</f>
        <v>3039</v>
      </c>
      <c r="I22" s="236">
        <f>H22/H32*100</f>
        <v>8.671447994852489</v>
      </c>
      <c r="J22" s="239" t="s">
        <v>552</v>
      </c>
    </row>
    <row r="23" spans="1:10" ht="58.5" customHeight="1">
      <c r="A23" s="341">
        <v>2</v>
      </c>
      <c r="B23" s="234" t="s">
        <v>414</v>
      </c>
      <c r="C23" s="235">
        <f>2148.39-C24-C25</f>
        <v>1883.85</v>
      </c>
      <c r="D23" s="235">
        <f>9158.91-D24-D25</f>
        <v>8031.1500000000005</v>
      </c>
      <c r="E23" s="236">
        <f t="shared" si="0"/>
        <v>9915</v>
      </c>
      <c r="F23" s="236">
        <f>E23/E32*100</f>
        <v>69.111896447167567</v>
      </c>
      <c r="G23" s="236">
        <v>10230</v>
      </c>
      <c r="H23" s="236">
        <f t="shared" si="1"/>
        <v>20145</v>
      </c>
      <c r="I23" s="236">
        <f>H23/H32*100</f>
        <v>57.481513608523649</v>
      </c>
      <c r="J23" s="239" t="s">
        <v>551</v>
      </c>
    </row>
    <row r="24" spans="1:10" ht="58.5" customHeight="1">
      <c r="A24" s="437" t="s">
        <v>636</v>
      </c>
      <c r="B24" s="234" t="s">
        <v>639</v>
      </c>
      <c r="C24" s="235">
        <v>213.24</v>
      </c>
      <c r="D24" s="235">
        <v>909.06</v>
      </c>
      <c r="E24" s="236">
        <f t="shared" si="0"/>
        <v>1122.3</v>
      </c>
      <c r="F24" s="236">
        <f>E24/E32*100</f>
        <v>7.82292298362644</v>
      </c>
      <c r="G24" s="236">
        <v>0</v>
      </c>
      <c r="H24" s="236">
        <f t="shared" si="1"/>
        <v>1122.3</v>
      </c>
      <c r="I24" s="236">
        <f>H24/H32*100</f>
        <v>3.2023580403497691</v>
      </c>
      <c r="J24" s="239" t="s">
        <v>551</v>
      </c>
    </row>
    <row r="25" spans="1:10" ht="58.5" customHeight="1">
      <c r="A25" s="437" t="s">
        <v>637</v>
      </c>
      <c r="B25" s="234" t="s">
        <v>638</v>
      </c>
      <c r="C25" s="235">
        <v>51.3</v>
      </c>
      <c r="D25" s="235">
        <v>218.7</v>
      </c>
      <c r="E25" s="236">
        <f t="shared" si="0"/>
        <v>270</v>
      </c>
      <c r="F25" s="236">
        <f>E25/E32*100</f>
        <v>1.8820183601346689</v>
      </c>
      <c r="G25" s="236">
        <v>0</v>
      </c>
      <c r="H25" s="236">
        <f t="shared" si="1"/>
        <v>270</v>
      </c>
      <c r="I25" s="236">
        <f>H25/H32*100</f>
        <v>0.77041492550515689</v>
      </c>
      <c r="J25" s="239" t="s">
        <v>551</v>
      </c>
    </row>
    <row r="26" spans="1:10" ht="259.5" customHeight="1">
      <c r="A26" s="341">
        <v>3</v>
      </c>
      <c r="B26" s="234" t="s">
        <v>415</v>
      </c>
      <c r="C26" s="235">
        <v>0</v>
      </c>
      <c r="D26" s="235">
        <v>0</v>
      </c>
      <c r="E26" s="236">
        <f t="shared" si="0"/>
        <v>0</v>
      </c>
      <c r="F26" s="236">
        <f>E26/E32*100</f>
        <v>0</v>
      </c>
      <c r="G26" s="236">
        <v>187.5</v>
      </c>
      <c r="H26" s="236">
        <f t="shared" si="1"/>
        <v>187.5</v>
      </c>
      <c r="I26" s="236">
        <f>H26/H32*100</f>
        <v>0.53501036493413667</v>
      </c>
      <c r="J26" s="239" t="s">
        <v>550</v>
      </c>
    </row>
    <row r="27" spans="1:10" ht="271.5" customHeight="1">
      <c r="A27" s="341">
        <v>4</v>
      </c>
      <c r="B27" s="234" t="s">
        <v>416</v>
      </c>
      <c r="C27" s="235">
        <v>0</v>
      </c>
      <c r="D27" s="235">
        <v>0</v>
      </c>
      <c r="E27" s="236">
        <f t="shared" si="0"/>
        <v>0</v>
      </c>
      <c r="F27" s="236">
        <f>E27/E32*100</f>
        <v>0</v>
      </c>
      <c r="G27" s="236">
        <v>9468.65</v>
      </c>
      <c r="H27" s="236">
        <f t="shared" si="1"/>
        <v>9468.65</v>
      </c>
      <c r="I27" s="236">
        <f>H27/H32*100</f>
        <v>27.017738090312605</v>
      </c>
      <c r="J27" s="239" t="s">
        <v>549</v>
      </c>
    </row>
    <row r="28" spans="1:10" ht="220.5" customHeight="1">
      <c r="A28" s="341">
        <v>5</v>
      </c>
      <c r="B28" s="234" t="s">
        <v>417</v>
      </c>
      <c r="C28" s="235">
        <v>0</v>
      </c>
      <c r="D28" s="235">
        <v>0</v>
      </c>
      <c r="E28" s="236">
        <f t="shared" si="0"/>
        <v>0</v>
      </c>
      <c r="F28" s="236">
        <f>E28/E32*100</f>
        <v>0</v>
      </c>
      <c r="G28" s="236">
        <v>813.6</v>
      </c>
      <c r="H28" s="236">
        <f t="shared" si="1"/>
        <v>813.6</v>
      </c>
      <c r="I28" s="236">
        <f>H28/H32*100</f>
        <v>2.3215169755222065</v>
      </c>
      <c r="J28" s="239" t="s">
        <v>548</v>
      </c>
    </row>
    <row r="29" spans="1:10" ht="243.75" customHeight="1">
      <c r="A29" s="341">
        <v>6</v>
      </c>
      <c r="B29" s="234" t="s">
        <v>418</v>
      </c>
      <c r="C29" s="235">
        <v>0</v>
      </c>
      <c r="D29" s="235">
        <v>0</v>
      </c>
      <c r="E29" s="236">
        <f t="shared" si="0"/>
        <v>0</v>
      </c>
      <c r="F29" s="236">
        <f>E29/E32*100</f>
        <v>0</v>
      </c>
      <c r="G29" s="236">
        <v>0</v>
      </c>
      <c r="H29" s="236">
        <v>0</v>
      </c>
      <c r="I29" s="236">
        <f>H29/H32*100</f>
        <v>0</v>
      </c>
      <c r="J29" s="239" t="s">
        <v>547</v>
      </c>
    </row>
    <row r="30" spans="1:10" ht="317.25" customHeight="1">
      <c r="A30" s="663">
        <v>7</v>
      </c>
      <c r="B30" s="663" t="s">
        <v>419</v>
      </c>
      <c r="C30" s="665">
        <v>0</v>
      </c>
      <c r="D30" s="665">
        <v>0</v>
      </c>
      <c r="E30" s="659">
        <f t="shared" si="0"/>
        <v>0</v>
      </c>
      <c r="F30" s="659">
        <f>E30/E32*100</f>
        <v>0</v>
      </c>
      <c r="G30" s="659">
        <v>0</v>
      </c>
      <c r="H30" s="659">
        <f t="shared" si="1"/>
        <v>0</v>
      </c>
      <c r="I30" s="659">
        <f>H30/H32*100</f>
        <v>0</v>
      </c>
      <c r="J30" s="661" t="s">
        <v>546</v>
      </c>
    </row>
    <row r="31" spans="1:10" ht="82.5" customHeight="1">
      <c r="A31" s="664"/>
      <c r="B31" s="664"/>
      <c r="C31" s="666"/>
      <c r="D31" s="666"/>
      <c r="E31" s="660"/>
      <c r="F31" s="660"/>
      <c r="G31" s="660"/>
      <c r="H31" s="660"/>
      <c r="I31" s="660"/>
      <c r="J31" s="662"/>
    </row>
    <row r="32" spans="1:10" ht="15.75">
      <c r="A32" s="234"/>
      <c r="B32" s="341" t="s">
        <v>472</v>
      </c>
      <c r="C32" s="341">
        <f t="shared" ref="C32:I32" si="2">SUM(C22:C30)</f>
        <v>2725.8</v>
      </c>
      <c r="D32" s="341">
        <f t="shared" si="2"/>
        <v>11620.500000000002</v>
      </c>
      <c r="E32" s="341">
        <f t="shared" si="2"/>
        <v>14346.3</v>
      </c>
      <c r="F32" s="341">
        <f t="shared" si="2"/>
        <v>100</v>
      </c>
      <c r="G32" s="341">
        <f t="shared" si="2"/>
        <v>20699.75</v>
      </c>
      <c r="H32" s="341">
        <f t="shared" si="2"/>
        <v>35046.049999999996</v>
      </c>
      <c r="I32" s="341">
        <f t="shared" si="2"/>
        <v>100</v>
      </c>
      <c r="J32" s="239"/>
    </row>
    <row r="34" spans="1:10" ht="15.75">
      <c r="A34" s="37"/>
      <c r="B34" s="37"/>
      <c r="C34" s="342" t="s">
        <v>640</v>
      </c>
      <c r="D34" s="36"/>
      <c r="E34" s="433"/>
      <c r="F34" s="433"/>
      <c r="G34" s="433"/>
      <c r="H34" s="433"/>
      <c r="I34" s="433"/>
      <c r="J34" s="433"/>
    </row>
    <row r="36" spans="1:10" ht="15.75" customHeight="1">
      <c r="A36" s="667" t="s">
        <v>402</v>
      </c>
      <c r="B36" s="667" t="s">
        <v>403</v>
      </c>
      <c r="C36" s="667" t="s">
        <v>404</v>
      </c>
      <c r="D36" s="667"/>
      <c r="E36" s="667"/>
      <c r="F36" s="663" t="s">
        <v>408</v>
      </c>
      <c r="G36" s="663" t="s">
        <v>409</v>
      </c>
      <c r="H36" s="663" t="s">
        <v>410</v>
      </c>
      <c r="I36" s="663" t="s">
        <v>411</v>
      </c>
      <c r="J36" s="663" t="s">
        <v>412</v>
      </c>
    </row>
    <row r="37" spans="1:10" ht="177" customHeight="1">
      <c r="A37" s="667"/>
      <c r="B37" s="667"/>
      <c r="C37" s="437" t="s">
        <v>405</v>
      </c>
      <c r="D37" s="437" t="s">
        <v>406</v>
      </c>
      <c r="E37" s="437" t="s">
        <v>407</v>
      </c>
      <c r="F37" s="664"/>
      <c r="G37" s="664"/>
      <c r="H37" s="664"/>
      <c r="I37" s="664"/>
      <c r="J37" s="664"/>
    </row>
    <row r="38" spans="1:10" ht="15.75">
      <c r="A38" s="437">
        <v>1</v>
      </c>
      <c r="B38" s="437">
        <v>2</v>
      </c>
      <c r="C38" s="437">
        <v>3</v>
      </c>
      <c r="D38" s="437">
        <v>4</v>
      </c>
      <c r="E38" s="237">
        <v>5</v>
      </c>
      <c r="F38" s="237">
        <v>6</v>
      </c>
      <c r="G38" s="237">
        <v>7</v>
      </c>
      <c r="H38" s="237">
        <v>8</v>
      </c>
      <c r="I38" s="237">
        <v>9</v>
      </c>
      <c r="J38" s="238">
        <v>10</v>
      </c>
    </row>
    <row r="39" spans="1:10" ht="141" customHeight="1">
      <c r="A39" s="437">
        <v>1</v>
      </c>
      <c r="B39" s="234" t="s">
        <v>413</v>
      </c>
      <c r="C39" s="235">
        <v>0</v>
      </c>
      <c r="D39" s="235">
        <v>0</v>
      </c>
      <c r="E39" s="236">
        <f t="shared" ref="E39:E47" si="3">SUM(C39,D39)</f>
        <v>0</v>
      </c>
      <c r="F39" s="236">
        <f>E39/E49*100</f>
        <v>0</v>
      </c>
      <c r="G39" s="236">
        <v>0</v>
      </c>
      <c r="H39" s="236">
        <f t="shared" ref="H39:H47" si="4">SUM(E39,G39)</f>
        <v>0</v>
      </c>
      <c r="I39" s="236">
        <f>H39/H49*100</f>
        <v>0</v>
      </c>
      <c r="J39" s="239" t="s">
        <v>552</v>
      </c>
    </row>
    <row r="40" spans="1:10" ht="56.25" customHeight="1">
      <c r="A40" s="437">
        <v>2</v>
      </c>
      <c r="B40" s="234" t="s">
        <v>414</v>
      </c>
      <c r="C40" s="442">
        <f>2698.68-C41-C42</f>
        <v>1136.0899999999997</v>
      </c>
      <c r="D40" s="235">
        <f>11504.9-D41-D42</f>
        <v>4843.3500000000004</v>
      </c>
      <c r="E40" s="236">
        <f t="shared" si="3"/>
        <v>5979.4400000000005</v>
      </c>
      <c r="F40" s="236">
        <f>E40/E49*100</f>
        <v>42.098118924947087</v>
      </c>
      <c r="G40" s="236">
        <v>10230</v>
      </c>
      <c r="H40" s="236">
        <f t="shared" si="4"/>
        <v>16209.44</v>
      </c>
      <c r="I40" s="236">
        <f>H40/H49*100</f>
        <v>66.340830938405261</v>
      </c>
      <c r="J40" s="239" t="s">
        <v>551</v>
      </c>
    </row>
    <row r="41" spans="1:10" ht="56.25" customHeight="1">
      <c r="A41" s="437" t="s">
        <v>636</v>
      </c>
      <c r="B41" s="234" t="s">
        <v>639</v>
      </c>
      <c r="C41" s="235">
        <v>213.24</v>
      </c>
      <c r="D41" s="235">
        <v>909.06</v>
      </c>
      <c r="E41" s="236">
        <f t="shared" si="3"/>
        <v>1122.3</v>
      </c>
      <c r="F41" s="236">
        <v>0</v>
      </c>
      <c r="G41" s="236">
        <v>0</v>
      </c>
      <c r="H41" s="236">
        <f t="shared" si="4"/>
        <v>1122.3</v>
      </c>
      <c r="I41" s="236">
        <f>H41/H49*100</f>
        <v>4.5932687719114424</v>
      </c>
      <c r="J41" s="239" t="s">
        <v>551</v>
      </c>
    </row>
    <row r="42" spans="1:10" ht="56.25" customHeight="1">
      <c r="A42" s="437" t="s">
        <v>637</v>
      </c>
      <c r="B42" s="234" t="s">
        <v>638</v>
      </c>
      <c r="C42" s="235">
        <v>1349.35</v>
      </c>
      <c r="D42" s="235">
        <v>5752.49</v>
      </c>
      <c r="E42" s="236">
        <f t="shared" si="3"/>
        <v>7101.84</v>
      </c>
      <c r="F42" s="236">
        <f>E42/E49*100</f>
        <v>50.000352023926354</v>
      </c>
      <c r="G42" s="236">
        <v>0</v>
      </c>
      <c r="H42" s="236">
        <f t="shared" si="4"/>
        <v>7101.84</v>
      </c>
      <c r="I42" s="236">
        <f>H42/H49*100</f>
        <v>29.065900289683295</v>
      </c>
      <c r="J42" s="239" t="s">
        <v>551</v>
      </c>
    </row>
    <row r="43" spans="1:10" ht="261" customHeight="1">
      <c r="A43" s="437">
        <v>3</v>
      </c>
      <c r="B43" s="234" t="s">
        <v>415</v>
      </c>
      <c r="C43" s="235">
        <v>0</v>
      </c>
      <c r="D43" s="235">
        <v>0</v>
      </c>
      <c r="E43" s="236">
        <f t="shared" si="3"/>
        <v>0</v>
      </c>
      <c r="F43" s="236">
        <f>E43/E49*100</f>
        <v>0</v>
      </c>
      <c r="G43" s="236">
        <v>0</v>
      </c>
      <c r="H43" s="236">
        <f t="shared" si="4"/>
        <v>0</v>
      </c>
      <c r="I43" s="236">
        <f>H43/H49*100</f>
        <v>0</v>
      </c>
      <c r="J43" s="239" t="s">
        <v>550</v>
      </c>
    </row>
    <row r="44" spans="1:10" ht="269.25" customHeight="1">
      <c r="A44" s="437">
        <v>4</v>
      </c>
      <c r="B44" s="234" t="s">
        <v>416</v>
      </c>
      <c r="C44" s="235">
        <v>0</v>
      </c>
      <c r="D44" s="235">
        <v>0</v>
      </c>
      <c r="E44" s="236">
        <f t="shared" si="3"/>
        <v>0</v>
      </c>
      <c r="F44" s="236">
        <f>E44/E49*100</f>
        <v>0</v>
      </c>
      <c r="G44" s="236">
        <v>0</v>
      </c>
      <c r="H44" s="236">
        <f t="shared" si="4"/>
        <v>0</v>
      </c>
      <c r="I44" s="236">
        <f>H44/H49*100</f>
        <v>0</v>
      </c>
      <c r="J44" s="239" t="s">
        <v>549</v>
      </c>
    </row>
    <row r="45" spans="1:10" ht="218.25" customHeight="1">
      <c r="A45" s="437">
        <v>5</v>
      </c>
      <c r="B45" s="234" t="s">
        <v>417</v>
      </c>
      <c r="C45" s="235">
        <v>0</v>
      </c>
      <c r="D45" s="235">
        <v>0</v>
      </c>
      <c r="E45" s="236">
        <f t="shared" si="3"/>
        <v>0</v>
      </c>
      <c r="F45" s="236">
        <f>E45/E49*100</f>
        <v>0</v>
      </c>
      <c r="G45" s="236">
        <v>0</v>
      </c>
      <c r="H45" s="236">
        <f t="shared" si="4"/>
        <v>0</v>
      </c>
      <c r="I45" s="236">
        <f>H45/H49*100</f>
        <v>0</v>
      </c>
      <c r="J45" s="239" t="s">
        <v>548</v>
      </c>
    </row>
    <row r="46" spans="1:10" ht="252">
      <c r="A46" s="437">
        <v>6</v>
      </c>
      <c r="B46" s="234" t="s">
        <v>418</v>
      </c>
      <c r="C46" s="235">
        <v>0</v>
      </c>
      <c r="D46" s="235">
        <v>0</v>
      </c>
      <c r="E46" s="236">
        <f t="shared" si="3"/>
        <v>0</v>
      </c>
      <c r="F46" s="236">
        <f>E46/E49*100</f>
        <v>0</v>
      </c>
      <c r="G46" s="236">
        <v>0</v>
      </c>
      <c r="H46" s="236">
        <f t="shared" si="4"/>
        <v>0</v>
      </c>
      <c r="I46" s="236">
        <f>H46/H49*100</f>
        <v>0</v>
      </c>
      <c r="J46" s="239" t="s">
        <v>547</v>
      </c>
    </row>
    <row r="47" spans="1:10" ht="15" customHeight="1">
      <c r="A47" s="663">
        <v>7</v>
      </c>
      <c r="B47" s="663" t="s">
        <v>419</v>
      </c>
      <c r="C47" s="665">
        <v>0</v>
      </c>
      <c r="D47" s="665">
        <v>0</v>
      </c>
      <c r="E47" s="659">
        <f t="shared" si="3"/>
        <v>0</v>
      </c>
      <c r="F47" s="659">
        <f>E47/E49*100</f>
        <v>0</v>
      </c>
      <c r="G47" s="659">
        <v>0</v>
      </c>
      <c r="H47" s="659">
        <f t="shared" si="4"/>
        <v>0</v>
      </c>
      <c r="I47" s="659">
        <f>H47/H49*100</f>
        <v>0</v>
      </c>
      <c r="J47" s="661" t="s">
        <v>546</v>
      </c>
    </row>
    <row r="48" spans="1:10">
      <c r="A48" s="664"/>
      <c r="B48" s="664"/>
      <c r="C48" s="666"/>
      <c r="D48" s="666"/>
      <c r="E48" s="660"/>
      <c r="F48" s="660"/>
      <c r="G48" s="660"/>
      <c r="H48" s="660"/>
      <c r="I48" s="660"/>
      <c r="J48" s="662"/>
    </row>
    <row r="49" spans="1:13" ht="15.75">
      <c r="A49" s="234"/>
      <c r="B49" s="437" t="s">
        <v>472</v>
      </c>
      <c r="C49" s="437">
        <f t="shared" ref="C49:I49" si="5">SUM(C39:C47)</f>
        <v>2698.6799999999994</v>
      </c>
      <c r="D49" s="437">
        <f t="shared" si="5"/>
        <v>11504.9</v>
      </c>
      <c r="E49" s="437">
        <f t="shared" si="5"/>
        <v>14203.580000000002</v>
      </c>
      <c r="F49" s="437">
        <f t="shared" si="5"/>
        <v>92.098470948873441</v>
      </c>
      <c r="G49" s="437">
        <f t="shared" si="5"/>
        <v>10230</v>
      </c>
      <c r="H49" s="437">
        <f t="shared" si="5"/>
        <v>24433.58</v>
      </c>
      <c r="I49" s="437">
        <f t="shared" si="5"/>
        <v>100</v>
      </c>
      <c r="J49" s="239"/>
    </row>
    <row r="52" spans="1:13" ht="15.75">
      <c r="A52" s="37"/>
      <c r="B52" s="37"/>
      <c r="C52" s="342" t="s">
        <v>641</v>
      </c>
      <c r="D52" s="36"/>
      <c r="E52" s="433"/>
      <c r="F52" s="433"/>
      <c r="G52" s="433"/>
      <c r="H52" s="433"/>
      <c r="I52" s="433"/>
      <c r="J52" s="433"/>
    </row>
    <row r="53" spans="1:13" ht="15.75">
      <c r="A53" s="667" t="s">
        <v>402</v>
      </c>
      <c r="B53" s="667" t="s">
        <v>403</v>
      </c>
      <c r="C53" s="667" t="s">
        <v>404</v>
      </c>
      <c r="D53" s="667"/>
      <c r="E53" s="667"/>
      <c r="F53" s="663" t="s">
        <v>408</v>
      </c>
      <c r="G53" s="663" t="s">
        <v>409</v>
      </c>
      <c r="H53" s="663" t="s">
        <v>410</v>
      </c>
      <c r="I53" s="663" t="s">
        <v>411</v>
      </c>
      <c r="J53" s="663" t="s">
        <v>412</v>
      </c>
    </row>
    <row r="54" spans="1:13" ht="96" customHeight="1">
      <c r="A54" s="667"/>
      <c r="B54" s="667"/>
      <c r="C54" s="437" t="s">
        <v>405</v>
      </c>
      <c r="D54" s="437" t="s">
        <v>406</v>
      </c>
      <c r="E54" s="437" t="s">
        <v>407</v>
      </c>
      <c r="F54" s="664"/>
      <c r="G54" s="664"/>
      <c r="H54" s="664"/>
      <c r="I54" s="664"/>
      <c r="J54" s="664"/>
    </row>
    <row r="55" spans="1:13" ht="15.75">
      <c r="A55" s="437">
        <v>1</v>
      </c>
      <c r="B55" s="437">
        <v>2</v>
      </c>
      <c r="C55" s="437">
        <v>3</v>
      </c>
      <c r="D55" s="437">
        <v>4</v>
      </c>
      <c r="E55" s="237">
        <v>5</v>
      </c>
      <c r="F55" s="237">
        <v>6</v>
      </c>
      <c r="G55" s="237">
        <v>7</v>
      </c>
      <c r="H55" s="237">
        <v>8</v>
      </c>
      <c r="I55" s="237">
        <v>9</v>
      </c>
      <c r="J55" s="238">
        <v>10</v>
      </c>
    </row>
    <row r="56" spans="1:13" ht="157.5">
      <c r="A56" s="437">
        <v>1</v>
      </c>
      <c r="B56" s="234" t="s">
        <v>413</v>
      </c>
      <c r="C56" s="235">
        <v>577.41</v>
      </c>
      <c r="D56" s="235">
        <v>2461.59</v>
      </c>
      <c r="E56" s="236">
        <f t="shared" ref="E56:E64" si="6">SUM(C56,D56)</f>
        <v>3039</v>
      </c>
      <c r="F56" s="236">
        <f>E56/E66*100</f>
        <v>21.18316220907133</v>
      </c>
      <c r="G56" s="236">
        <v>0</v>
      </c>
      <c r="H56" s="236">
        <f t="shared" ref="H56:H62" si="7">SUM(E56,G56)</f>
        <v>3039</v>
      </c>
      <c r="I56" s="236">
        <f>H56/H66*100</f>
        <v>6.0471378273841614</v>
      </c>
      <c r="J56" s="239" t="s">
        <v>552</v>
      </c>
    </row>
    <row r="57" spans="1:13" ht="58.5" customHeight="1">
      <c r="A57" s="437">
        <v>2</v>
      </c>
      <c r="B57" s="234" t="s">
        <v>414</v>
      </c>
      <c r="C57" s="235">
        <f>2725.8-C58-C59-C56</f>
        <v>1883.8500000000004</v>
      </c>
      <c r="D57" s="235">
        <f>9158.91-D58-D59</f>
        <v>8031.1500000000005</v>
      </c>
      <c r="E57" s="236">
        <f t="shared" si="6"/>
        <v>9915</v>
      </c>
      <c r="F57" s="236">
        <f>E57/E66*100</f>
        <v>69.111896447167567</v>
      </c>
      <c r="G57" s="236">
        <v>25439.13</v>
      </c>
      <c r="H57" s="236">
        <f t="shared" si="7"/>
        <v>35354.130000000005</v>
      </c>
      <c r="I57" s="236">
        <f>H57/H66*100</f>
        <v>70.349225691759528</v>
      </c>
      <c r="J57" s="239" t="s">
        <v>551</v>
      </c>
    </row>
    <row r="58" spans="1:13" ht="58.5" customHeight="1">
      <c r="A58" s="437" t="s">
        <v>636</v>
      </c>
      <c r="B58" s="234" t="s">
        <v>639</v>
      </c>
      <c r="C58" s="235">
        <v>213.24</v>
      </c>
      <c r="D58" s="235">
        <v>909.06</v>
      </c>
      <c r="E58" s="236">
        <f t="shared" si="6"/>
        <v>1122.3</v>
      </c>
      <c r="F58" s="236">
        <f>E58/E66*100</f>
        <v>7.82292298362644</v>
      </c>
      <c r="G58" s="236">
        <v>0</v>
      </c>
      <c r="H58" s="236">
        <f t="shared" si="7"/>
        <v>1122.3</v>
      </c>
      <c r="I58" s="236">
        <f>H58/H66*100</f>
        <v>2.2332026270724725</v>
      </c>
      <c r="J58" s="239" t="s">
        <v>551</v>
      </c>
      <c r="L58" s="443">
        <f>H57+H58+H59</f>
        <v>36746.430000000008</v>
      </c>
      <c r="M58" s="443"/>
    </row>
    <row r="59" spans="1:13" ht="58.5" customHeight="1">
      <c r="A59" s="437" t="s">
        <v>637</v>
      </c>
      <c r="B59" s="234" t="s">
        <v>638</v>
      </c>
      <c r="C59" s="235">
        <v>51.3</v>
      </c>
      <c r="D59" s="235">
        <v>218.7</v>
      </c>
      <c r="E59" s="236">
        <f t="shared" si="6"/>
        <v>270</v>
      </c>
      <c r="F59" s="236">
        <f>E59/E66*100</f>
        <v>1.8820183601346689</v>
      </c>
      <c r="G59" s="236">
        <v>0</v>
      </c>
      <c r="H59" s="236">
        <f t="shared" si="7"/>
        <v>270</v>
      </c>
      <c r="I59" s="236">
        <f>H59/H66*100</f>
        <v>0.53725804981695413</v>
      </c>
      <c r="J59" s="239" t="s">
        <v>551</v>
      </c>
    </row>
    <row r="60" spans="1:13" ht="273.75" customHeight="1">
      <c r="A60" s="437">
        <v>3</v>
      </c>
      <c r="B60" s="234" t="s">
        <v>415</v>
      </c>
      <c r="C60" s="235">
        <v>0</v>
      </c>
      <c r="D60" s="235">
        <v>0</v>
      </c>
      <c r="E60" s="236">
        <f t="shared" si="6"/>
        <v>0</v>
      </c>
      <c r="F60" s="236">
        <f>E60/E66*100</f>
        <v>0</v>
      </c>
      <c r="G60" s="236">
        <v>187.5</v>
      </c>
      <c r="H60" s="236">
        <f t="shared" si="7"/>
        <v>187.5</v>
      </c>
      <c r="I60" s="236">
        <f>H60/H66*100</f>
        <v>0.37309586792844035</v>
      </c>
      <c r="J60" s="239" t="s">
        <v>550</v>
      </c>
    </row>
    <row r="61" spans="1:13" ht="299.25">
      <c r="A61" s="437">
        <v>4</v>
      </c>
      <c r="B61" s="234" t="s">
        <v>416</v>
      </c>
      <c r="C61" s="235">
        <v>0</v>
      </c>
      <c r="D61" s="235">
        <v>0</v>
      </c>
      <c r="E61" s="236">
        <f t="shared" si="6"/>
        <v>0</v>
      </c>
      <c r="F61" s="236">
        <f>E61/E66*100</f>
        <v>0</v>
      </c>
      <c r="G61" s="236">
        <v>9468.65</v>
      </c>
      <c r="H61" s="236">
        <f t="shared" si="7"/>
        <v>9468.65</v>
      </c>
      <c r="I61" s="236">
        <f>H61/H66*100</f>
        <v>18.841142345923341</v>
      </c>
      <c r="J61" s="239" t="s">
        <v>549</v>
      </c>
    </row>
    <row r="62" spans="1:13" ht="252">
      <c r="A62" s="437">
        <v>5</v>
      </c>
      <c r="B62" s="234" t="s">
        <v>417</v>
      </c>
      <c r="C62" s="235">
        <v>0</v>
      </c>
      <c r="D62" s="235">
        <v>0</v>
      </c>
      <c r="E62" s="236">
        <f t="shared" si="6"/>
        <v>0</v>
      </c>
      <c r="F62" s="236">
        <f>E62/E66*100</f>
        <v>0</v>
      </c>
      <c r="G62" s="236">
        <v>813.6</v>
      </c>
      <c r="H62" s="236">
        <f t="shared" si="7"/>
        <v>813.6</v>
      </c>
      <c r="I62" s="236">
        <f>H62/H66*100</f>
        <v>1.6189375901150886</v>
      </c>
      <c r="J62" s="239" t="s">
        <v>548</v>
      </c>
    </row>
    <row r="63" spans="1:13" ht="252">
      <c r="A63" s="437">
        <v>6</v>
      </c>
      <c r="B63" s="234" t="s">
        <v>418</v>
      </c>
      <c r="C63" s="235">
        <v>0</v>
      </c>
      <c r="D63" s="235">
        <v>0</v>
      </c>
      <c r="E63" s="236">
        <f t="shared" si="6"/>
        <v>0</v>
      </c>
      <c r="F63" s="236">
        <f>E63/E66*100</f>
        <v>0</v>
      </c>
      <c r="G63" s="236">
        <v>0</v>
      </c>
      <c r="H63" s="236">
        <v>0</v>
      </c>
      <c r="I63" s="236">
        <f>H63/H66*100</f>
        <v>0</v>
      </c>
      <c r="J63" s="239" t="s">
        <v>547</v>
      </c>
    </row>
    <row r="64" spans="1:13">
      <c r="A64" s="663">
        <v>7</v>
      </c>
      <c r="B64" s="663" t="s">
        <v>419</v>
      </c>
      <c r="C64" s="665">
        <v>0</v>
      </c>
      <c r="D64" s="665">
        <v>0</v>
      </c>
      <c r="E64" s="659">
        <f t="shared" si="6"/>
        <v>0</v>
      </c>
      <c r="F64" s="659">
        <f>E64/E66*100</f>
        <v>0</v>
      </c>
      <c r="G64" s="659">
        <v>0</v>
      </c>
      <c r="H64" s="659">
        <f t="shared" ref="H64" si="8">SUM(E64,G64)</f>
        <v>0</v>
      </c>
      <c r="I64" s="659">
        <f>H64/H66*100</f>
        <v>0</v>
      </c>
      <c r="J64" s="661" t="s">
        <v>546</v>
      </c>
    </row>
    <row r="65" spans="1:10" ht="377.25" customHeight="1">
      <c r="A65" s="664"/>
      <c r="B65" s="664"/>
      <c r="C65" s="666"/>
      <c r="D65" s="666"/>
      <c r="E65" s="660"/>
      <c r="F65" s="660"/>
      <c r="G65" s="660"/>
      <c r="H65" s="660"/>
      <c r="I65" s="660"/>
      <c r="J65" s="662"/>
    </row>
    <row r="66" spans="1:10" ht="15.75">
      <c r="A66" s="234"/>
      <c r="B66" s="437" t="s">
        <v>472</v>
      </c>
      <c r="C66" s="437">
        <f t="shared" ref="C66:I66" si="9">SUM(C56:C64)</f>
        <v>2725.8</v>
      </c>
      <c r="D66" s="437">
        <f t="shared" si="9"/>
        <v>11620.500000000002</v>
      </c>
      <c r="E66" s="437">
        <f t="shared" si="9"/>
        <v>14346.3</v>
      </c>
      <c r="F66" s="437">
        <f t="shared" si="9"/>
        <v>100</v>
      </c>
      <c r="G66" s="437">
        <f t="shared" si="9"/>
        <v>35908.879999999997</v>
      </c>
      <c r="H66" s="437">
        <f t="shared" si="9"/>
        <v>50255.180000000008</v>
      </c>
      <c r="I66" s="437">
        <f t="shared" si="9"/>
        <v>100</v>
      </c>
      <c r="J66" s="239"/>
    </row>
  </sheetData>
  <mergeCells count="63">
    <mergeCell ref="A30:A31"/>
    <mergeCell ref="B30:B31"/>
    <mergeCell ref="C30:C31"/>
    <mergeCell ref="D30:D31"/>
    <mergeCell ref="E30:E31"/>
    <mergeCell ref="A19:A20"/>
    <mergeCell ref="B19:B20"/>
    <mergeCell ref="C19:E19"/>
    <mergeCell ref="F19:F20"/>
    <mergeCell ref="G19:G20"/>
    <mergeCell ref="E15:J15"/>
    <mergeCell ref="J30:J31"/>
    <mergeCell ref="J19:J20"/>
    <mergeCell ref="H19:H20"/>
    <mergeCell ref="I19:I20"/>
    <mergeCell ref="F30:F31"/>
    <mergeCell ref="H30:H31"/>
    <mergeCell ref="I30:I31"/>
    <mergeCell ref="G30:G31"/>
    <mergeCell ref="I5:J5"/>
    <mergeCell ref="A13:D14"/>
    <mergeCell ref="E13:J13"/>
    <mergeCell ref="E14:J14"/>
    <mergeCell ref="C10:I10"/>
    <mergeCell ref="A12:D12"/>
    <mergeCell ref="E12:J12"/>
    <mergeCell ref="F9:G9"/>
    <mergeCell ref="A36:A37"/>
    <mergeCell ref="B36:B37"/>
    <mergeCell ref="C36:E36"/>
    <mergeCell ref="F36:F37"/>
    <mergeCell ref="G36:G37"/>
    <mergeCell ref="F47:F48"/>
    <mergeCell ref="G47:G48"/>
    <mergeCell ref="H47:H48"/>
    <mergeCell ref="I47:I48"/>
    <mergeCell ref="J47:J48"/>
    <mergeCell ref="A47:A48"/>
    <mergeCell ref="B47:B48"/>
    <mergeCell ref="C47:C48"/>
    <mergeCell ref="D47:D48"/>
    <mergeCell ref="E47:E48"/>
    <mergeCell ref="H53:H54"/>
    <mergeCell ref="I53:I54"/>
    <mergeCell ref="J53:J54"/>
    <mergeCell ref="H36:H37"/>
    <mergeCell ref="I36:I37"/>
    <mergeCell ref="J36:J37"/>
    <mergeCell ref="A53:A54"/>
    <mergeCell ref="B53:B54"/>
    <mergeCell ref="C53:E53"/>
    <mergeCell ref="F53:F54"/>
    <mergeCell ref="G53:G54"/>
    <mergeCell ref="A64:A65"/>
    <mergeCell ref="B64:B65"/>
    <mergeCell ref="C64:C65"/>
    <mergeCell ref="D64:D65"/>
    <mergeCell ref="E64:E65"/>
    <mergeCell ref="F64:F65"/>
    <mergeCell ref="G64:G65"/>
    <mergeCell ref="H64:H65"/>
    <mergeCell ref="I64:I65"/>
    <mergeCell ref="J64:J65"/>
  </mergeCells>
  <printOptions horizontalCentered="1"/>
  <pageMargins left="0.23622047244094491" right="0.23622047244094491" top="0.74803149606299213" bottom="0.74803149606299213" header="0.31496062992125984" footer="0.31496062992125984"/>
  <pageSetup paperSize="9" scale="53" orientation="landscape" r:id="rId1"/>
  <headerFooter differentFirst="1">
    <oddHeader>&amp;C&amp;"Times New Roman,обычный"&amp;14&amp;P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16</vt:i4>
      </vt:variant>
    </vt:vector>
  </HeadingPairs>
  <TitlesOfParts>
    <vt:vector size="26" baseType="lpstr">
      <vt:lpstr>Приложение 1</vt:lpstr>
      <vt:lpstr>Приложение 2</vt:lpstr>
      <vt:lpstr>Приложение 3</vt:lpstr>
      <vt:lpstr>Приложение 4</vt:lpstr>
      <vt:lpstr>Приложение 5</vt:lpstr>
      <vt:lpstr>Приложение 6</vt:lpstr>
      <vt:lpstr>Приложение 7</vt:lpstr>
      <vt:lpstr>Приложение 10</vt:lpstr>
      <vt:lpstr>Приложение 11 </vt:lpstr>
      <vt:lpstr>Приложение13</vt:lpstr>
      <vt:lpstr>'Приложение 1'!Заголовки_для_печати</vt:lpstr>
      <vt:lpstr>'Приложение 11 '!Заголовки_для_печати</vt:lpstr>
      <vt:lpstr>'Приложение 2'!Заголовки_для_печати</vt:lpstr>
      <vt:lpstr>'Приложение 3'!Заголовки_для_печати</vt:lpstr>
      <vt:lpstr>'Приложение 4'!Заголовки_для_печати</vt:lpstr>
      <vt:lpstr>'Приложение 6'!Заголовки_для_печати</vt:lpstr>
      <vt:lpstr>'Приложение 7'!Заголовки_для_печати</vt:lpstr>
      <vt:lpstr>'Приложение 1'!Область_печати</vt:lpstr>
      <vt:lpstr>'Приложение 10'!Область_печати</vt:lpstr>
      <vt:lpstr>'Приложение 11 '!Область_печати</vt:lpstr>
      <vt:lpstr>'Приложение 2'!Область_печати</vt:lpstr>
      <vt:lpstr>'Приложение 3'!Область_печати</vt:lpstr>
      <vt:lpstr>'Приложение 4'!Область_печати</vt:lpstr>
      <vt:lpstr>'Приложение 5'!Область_печати</vt:lpstr>
      <vt:lpstr>'Приложение 6'!Область_печати</vt:lpstr>
      <vt:lpstr>'Приложение 7'!Область_печати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psp</cp:lastModifiedBy>
  <cp:lastPrinted>2020-04-28T12:23:26Z</cp:lastPrinted>
  <dcterms:created xsi:type="dcterms:W3CDTF">2013-05-23T11:07:41Z</dcterms:created>
  <dcterms:modified xsi:type="dcterms:W3CDTF">2020-04-28T12:27:04Z</dcterms:modified>
</cp:coreProperties>
</file>